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обмен\РЕШЕНИЯ 5 СОЗЫВА\50 сессия\ГОТОВЫЕ РЕШЕНИЯ\Программа КР\"/>
    </mc:Choice>
  </mc:AlternateContent>
  <bookViews>
    <workbookView xWindow="-120" yWindow="-120" windowWidth="29040" windowHeight="15840" activeTab="2"/>
  </bookViews>
  <sheets>
    <sheet name="Прил 2" sheetId="7" r:id="rId1"/>
    <sheet name=" Прил 3" sheetId="3" r:id="rId2"/>
    <sheet name="Табл2" sheetId="6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3" i="7" l="1"/>
  <c r="I107" i="7"/>
  <c r="H107" i="7"/>
  <c r="Q104" i="7"/>
  <c r="L18" i="6"/>
  <c r="M18" i="6"/>
  <c r="K19" i="6"/>
  <c r="I19" i="6"/>
  <c r="G214" i="7"/>
  <c r="N155" i="7"/>
  <c r="N159" i="7"/>
  <c r="N157" i="7"/>
  <c r="K48" i="7"/>
  <c r="K47" i="7"/>
  <c r="O14" i="6" s="1"/>
  <c r="M172" i="7"/>
  <c r="Q14" i="6" s="1"/>
  <c r="L172" i="7"/>
  <c r="P14" i="6" s="1"/>
  <c r="K172" i="7"/>
  <c r="J172" i="7"/>
  <c r="N15" i="6"/>
  <c r="N14" i="6"/>
  <c r="M15" i="6"/>
  <c r="M14" i="6"/>
  <c r="I172" i="7"/>
  <c r="L15" i="6"/>
  <c r="L14" i="6"/>
  <c r="H61" i="7" l="1"/>
  <c r="H172" i="7"/>
  <c r="K12" i="6"/>
  <c r="K18" i="6"/>
  <c r="J20" i="6"/>
  <c r="N260" i="7"/>
  <c r="I18" i="6"/>
  <c r="H12" i="6"/>
  <c r="H18" i="6"/>
  <c r="H47" i="7"/>
  <c r="H10" i="6"/>
  <c r="H9" i="6"/>
  <c r="M12" i="6"/>
  <c r="N12" i="6"/>
  <c r="O12" i="6"/>
  <c r="P12" i="6"/>
  <c r="Q12" i="6"/>
  <c r="K13" i="6"/>
  <c r="L13" i="6"/>
  <c r="M13" i="6"/>
  <c r="N13" i="6"/>
  <c r="O13" i="6"/>
  <c r="P13" i="6"/>
  <c r="Q13" i="6"/>
  <c r="M16" i="6"/>
  <c r="N16" i="6"/>
  <c r="O16" i="6"/>
  <c r="P16" i="6"/>
  <c r="Q16" i="6"/>
  <c r="M17" i="6"/>
  <c r="N17" i="6"/>
  <c r="O17" i="6"/>
  <c r="P17" i="6"/>
  <c r="Q17" i="6"/>
  <c r="J18" i="6"/>
  <c r="J17" i="6"/>
  <c r="J16" i="6"/>
  <c r="K15" i="6"/>
  <c r="K14" i="6"/>
  <c r="J13" i="6"/>
  <c r="J11" i="6"/>
  <c r="H48" i="7" l="1"/>
  <c r="L12" i="6"/>
  <c r="E43" i="7"/>
  <c r="N60" i="7"/>
  <c r="N61" i="7"/>
  <c r="N62" i="7"/>
  <c r="N63" i="7"/>
  <c r="N64" i="7"/>
  <c r="N65" i="7"/>
  <c r="N66" i="7"/>
  <c r="N67" i="7"/>
  <c r="N76" i="7"/>
  <c r="N77" i="7"/>
  <c r="N101" i="7"/>
  <c r="N100" i="7"/>
  <c r="N99" i="7"/>
  <c r="N98" i="7"/>
  <c r="G48" i="7"/>
  <c r="N94" i="7"/>
  <c r="N93" i="7"/>
  <c r="N92" i="7"/>
  <c r="D48" i="7"/>
  <c r="E47" i="7"/>
  <c r="E95" i="7"/>
  <c r="K8" i="6"/>
  <c r="L8" i="6"/>
  <c r="M8" i="6"/>
  <c r="N8" i="6"/>
  <c r="O8" i="6"/>
  <c r="P8" i="6"/>
  <c r="Q8" i="6"/>
  <c r="N95" i="7" l="1"/>
  <c r="I9" i="6"/>
  <c r="I10" i="6" s="1"/>
  <c r="K11" i="6"/>
  <c r="L11" i="6"/>
  <c r="M11" i="6"/>
  <c r="N11" i="6"/>
  <c r="O11" i="6"/>
  <c r="P11" i="6"/>
  <c r="Q11" i="6"/>
  <c r="K7" i="6"/>
  <c r="L7" i="6"/>
  <c r="M7" i="6"/>
  <c r="N7" i="6"/>
  <c r="O7" i="6"/>
  <c r="P7" i="6"/>
  <c r="Q7" i="6"/>
  <c r="N21" i="6" l="1"/>
  <c r="M21" i="6"/>
  <c r="H144" i="7"/>
  <c r="H110" i="7"/>
  <c r="G110" i="7"/>
  <c r="G213" i="7"/>
  <c r="F261" i="7"/>
  <c r="D112" i="7"/>
  <c r="D107" i="7"/>
  <c r="D106" i="7"/>
  <c r="G47" i="7"/>
  <c r="F35" i="7"/>
  <c r="F30" i="7"/>
  <c r="F29" i="7"/>
  <c r="E30" i="7"/>
  <c r="E29" i="7"/>
  <c r="I7" i="6" s="1"/>
  <c r="D30" i="7"/>
  <c r="D29" i="7"/>
  <c r="H7" i="6" s="1"/>
  <c r="K275" i="7"/>
  <c r="K351" i="7" s="1"/>
  <c r="L275" i="7"/>
  <c r="L351" i="7" s="1"/>
  <c r="M275" i="7"/>
  <c r="M351" i="7" s="1"/>
  <c r="D275" i="7"/>
  <c r="G350" i="7"/>
  <c r="H350" i="7"/>
  <c r="I350" i="7"/>
  <c r="J350" i="7"/>
  <c r="K350" i="7"/>
  <c r="L350" i="7"/>
  <c r="M350" i="7"/>
  <c r="N197" i="7"/>
  <c r="N198" i="7"/>
  <c r="N199" i="7"/>
  <c r="N200" i="7"/>
  <c r="N201" i="7"/>
  <c r="N202" i="7"/>
  <c r="N192" i="7"/>
  <c r="F168" i="7"/>
  <c r="N217" i="7"/>
  <c r="F173" i="7"/>
  <c r="J7" i="6" l="1"/>
  <c r="H15" i="6"/>
  <c r="H14" i="6"/>
  <c r="F213" i="7"/>
  <c r="N261" i="7"/>
  <c r="G107" i="7"/>
  <c r="K17" i="6"/>
  <c r="K16" i="6"/>
  <c r="N110" i="7"/>
  <c r="L16" i="6"/>
  <c r="L17" i="6"/>
  <c r="H106" i="7"/>
  <c r="J8" i="6"/>
  <c r="J21" i="6" s="1"/>
  <c r="F214" i="7"/>
  <c r="I8" i="6"/>
  <c r="I21" i="6" s="1"/>
  <c r="H8" i="6"/>
  <c r="G106" i="7"/>
  <c r="N196" i="7"/>
  <c r="N195" i="7"/>
  <c r="N194" i="7"/>
  <c r="N193" i="7"/>
  <c r="N144" i="7"/>
  <c r="N143" i="7"/>
  <c r="N129" i="7"/>
  <c r="F274" i="7"/>
  <c r="F350" i="7" s="1"/>
  <c r="N313" i="7"/>
  <c r="N312" i="7"/>
  <c r="N311" i="7"/>
  <c r="N310" i="7"/>
  <c r="N309" i="7"/>
  <c r="N308" i="7"/>
  <c r="N307" i="7"/>
  <c r="N306" i="7"/>
  <c r="E305" i="7"/>
  <c r="F303" i="7"/>
  <c r="E301" i="7"/>
  <c r="J299" i="7"/>
  <c r="J275" i="7" s="1"/>
  <c r="J351" i="7" s="1"/>
  <c r="I299" i="7"/>
  <c r="I275" i="7" s="1"/>
  <c r="I351" i="7" s="1"/>
  <c r="E297" i="7"/>
  <c r="E295" i="7"/>
  <c r="E293" i="7"/>
  <c r="E291" i="7"/>
  <c r="G289" i="7"/>
  <c r="F289" i="7"/>
  <c r="F275" i="7" s="1"/>
  <c r="E289" i="7"/>
  <c r="E287" i="7"/>
  <c r="E285" i="7"/>
  <c r="H283" i="7"/>
  <c r="G283" i="7"/>
  <c r="H281" i="7"/>
  <c r="G281" i="7"/>
  <c r="H279" i="7"/>
  <c r="G279" i="7"/>
  <c r="H277" i="7"/>
  <c r="H21" i="6" l="1"/>
  <c r="K21" i="6"/>
  <c r="L21" i="6"/>
  <c r="G275" i="7"/>
  <c r="G351" i="7" s="1"/>
  <c r="H275" i="7"/>
  <c r="H351" i="7" s="1"/>
  <c r="E275" i="7"/>
  <c r="G168" i="7"/>
  <c r="F107" i="7"/>
  <c r="E102" i="7"/>
  <c r="F102" i="7"/>
  <c r="G102" i="7"/>
  <c r="H102" i="7"/>
  <c r="I102" i="7"/>
  <c r="J102" i="7"/>
  <c r="K102" i="7"/>
  <c r="L102" i="7"/>
  <c r="M102" i="7"/>
  <c r="D102" i="7"/>
  <c r="N153" i="7"/>
  <c r="N151" i="7"/>
  <c r="N149" i="7"/>
  <c r="N91" i="7"/>
  <c r="N90" i="7"/>
  <c r="N89" i="7" l="1"/>
  <c r="N88" i="7"/>
  <c r="N87" i="7"/>
  <c r="N86" i="7"/>
  <c r="F48" i="7" l="1"/>
  <c r="D35" i="7"/>
  <c r="D214" i="7"/>
  <c r="N222" i="7"/>
  <c r="E209" i="7"/>
  <c r="D43" i="7"/>
  <c r="N83" i="7"/>
  <c r="N82" i="7"/>
  <c r="E214" i="7"/>
  <c r="N259" i="7"/>
  <c r="Q211" i="7" s="1"/>
  <c r="N258" i="7"/>
  <c r="F43" i="7"/>
  <c r="G43" i="7"/>
  <c r="H43" i="7"/>
  <c r="I43" i="7"/>
  <c r="J43" i="7"/>
  <c r="K43" i="7"/>
  <c r="L43" i="7"/>
  <c r="M43" i="7"/>
  <c r="N145" i="7" l="1"/>
  <c r="N81" i="7"/>
  <c r="N80" i="7"/>
  <c r="H168" i="7"/>
  <c r="I168" i="7"/>
  <c r="J168" i="7"/>
  <c r="K168" i="7"/>
  <c r="L168" i="7"/>
  <c r="M168" i="7"/>
  <c r="E107" i="7"/>
  <c r="N140" i="7"/>
  <c r="N139" i="7"/>
  <c r="I48" i="7"/>
  <c r="J48" i="7"/>
  <c r="L48" i="7"/>
  <c r="M48" i="7"/>
  <c r="I47" i="7"/>
  <c r="J47" i="7"/>
  <c r="L47" i="7"/>
  <c r="M47" i="7"/>
  <c r="J107" i="7"/>
  <c r="K107" i="7"/>
  <c r="L107" i="7"/>
  <c r="M107" i="7"/>
  <c r="E213" i="7"/>
  <c r="E25" i="7"/>
  <c r="F25" i="7"/>
  <c r="G25" i="7"/>
  <c r="H25" i="7"/>
  <c r="I25" i="7"/>
  <c r="J25" i="7"/>
  <c r="K25" i="7"/>
  <c r="L25" i="7"/>
  <c r="M25" i="7"/>
  <c r="D25" i="7"/>
  <c r="N35" i="7"/>
  <c r="N34" i="7"/>
  <c r="E31" i="7"/>
  <c r="F31" i="7"/>
  <c r="G31" i="7"/>
  <c r="H31" i="7"/>
  <c r="I31" i="7"/>
  <c r="J31" i="7"/>
  <c r="K31" i="7"/>
  <c r="L31" i="7"/>
  <c r="M31" i="7"/>
  <c r="N33" i="7"/>
  <c r="N32" i="7"/>
  <c r="D31" i="7"/>
  <c r="N141" i="7"/>
  <c r="D168" i="7"/>
  <c r="D209" i="7"/>
  <c r="N219" i="7"/>
  <c r="N131" i="7"/>
  <c r="N123" i="7"/>
  <c r="N121" i="7"/>
  <c r="N117" i="7"/>
  <c r="N115" i="7"/>
  <c r="N113" i="7"/>
  <c r="N112" i="7"/>
  <c r="N111" i="7"/>
  <c r="N109" i="7"/>
  <c r="E269" i="7"/>
  <c r="F269" i="7"/>
  <c r="G269" i="7"/>
  <c r="H269" i="7"/>
  <c r="I269" i="7"/>
  <c r="J269" i="7"/>
  <c r="K269" i="7"/>
  <c r="L269" i="7"/>
  <c r="M269" i="7"/>
  <c r="D269" i="7"/>
  <c r="N305" i="7"/>
  <c r="N304" i="7"/>
  <c r="N303" i="7"/>
  <c r="N302" i="7"/>
  <c r="N301" i="7"/>
  <c r="N300" i="7"/>
  <c r="N299" i="7"/>
  <c r="N298" i="7"/>
  <c r="N297" i="7"/>
  <c r="N296" i="7"/>
  <c r="N295" i="7"/>
  <c r="N294" i="7"/>
  <c r="N293" i="7"/>
  <c r="N292" i="7"/>
  <c r="N291" i="7"/>
  <c r="N290" i="7"/>
  <c r="N289" i="7"/>
  <c r="N288" i="7"/>
  <c r="N287" i="7"/>
  <c r="N286" i="7"/>
  <c r="N285" i="7"/>
  <c r="N284" i="7"/>
  <c r="N283" i="7"/>
  <c r="N282" i="7"/>
  <c r="N281" i="7"/>
  <c r="N280" i="7"/>
  <c r="N279" i="7"/>
  <c r="N278" i="7"/>
  <c r="N277" i="7"/>
  <c r="N276" i="7"/>
  <c r="Q271" i="7" l="1"/>
  <c r="Q27" i="7"/>
  <c r="E351" i="7"/>
  <c r="N269" i="7"/>
  <c r="F163" i="7"/>
  <c r="G163" i="7"/>
  <c r="D351" i="7"/>
  <c r="M349" i="7"/>
  <c r="L349" i="7"/>
  <c r="K349" i="7"/>
  <c r="J349" i="7"/>
  <c r="I349" i="7"/>
  <c r="H349" i="7"/>
  <c r="G349" i="7"/>
  <c r="E349" i="7"/>
  <c r="D349" i="7"/>
  <c r="M348" i="7"/>
  <c r="L348" i="7"/>
  <c r="K348" i="7"/>
  <c r="J348" i="7"/>
  <c r="I348" i="7"/>
  <c r="H348" i="7"/>
  <c r="G348" i="7"/>
  <c r="E348" i="7"/>
  <c r="D348" i="7"/>
  <c r="M271" i="7"/>
  <c r="K271" i="7"/>
  <c r="H271" i="7"/>
  <c r="H270" i="7" s="1"/>
  <c r="E350" i="7"/>
  <c r="N273" i="7"/>
  <c r="N272" i="7"/>
  <c r="G271" i="7"/>
  <c r="G270" i="7" s="1"/>
  <c r="F271" i="7"/>
  <c r="D271" i="7"/>
  <c r="J266" i="7"/>
  <c r="I266" i="7"/>
  <c r="H266" i="7"/>
  <c r="G266" i="7"/>
  <c r="F266" i="7"/>
  <c r="E266" i="7"/>
  <c r="D266" i="7"/>
  <c r="M263" i="7"/>
  <c r="L263" i="7"/>
  <c r="K263" i="7"/>
  <c r="J263" i="7"/>
  <c r="I263" i="7"/>
  <c r="H263" i="7"/>
  <c r="G263" i="7"/>
  <c r="F263" i="7"/>
  <c r="E263" i="7"/>
  <c r="D263" i="7"/>
  <c r="N238" i="7"/>
  <c r="N236" i="7"/>
  <c r="N234" i="7"/>
  <c r="N230" i="7"/>
  <c r="N228" i="7"/>
  <c r="N226" i="7"/>
  <c r="N224" i="7"/>
  <c r="N220" i="7"/>
  <c r="N218" i="7"/>
  <c r="N216" i="7"/>
  <c r="M215" i="7"/>
  <c r="M211" i="7" s="1"/>
  <c r="L215" i="7"/>
  <c r="L266" i="7" s="1"/>
  <c r="K215" i="7"/>
  <c r="K266" i="7" s="1"/>
  <c r="G211" i="7"/>
  <c r="N212" i="7"/>
  <c r="J211" i="7"/>
  <c r="I211" i="7"/>
  <c r="H211" i="7"/>
  <c r="E211" i="7"/>
  <c r="M209" i="7"/>
  <c r="L209" i="7"/>
  <c r="K209" i="7"/>
  <c r="J209" i="7"/>
  <c r="I209" i="7"/>
  <c r="H209" i="7"/>
  <c r="G209" i="7"/>
  <c r="F209" i="7"/>
  <c r="N191" i="7"/>
  <c r="N190" i="7"/>
  <c r="N189" i="7"/>
  <c r="N188" i="7"/>
  <c r="N187" i="7"/>
  <c r="N186" i="7"/>
  <c r="N185" i="7"/>
  <c r="N184" i="7"/>
  <c r="N183" i="7"/>
  <c r="N182" i="7"/>
  <c r="N181" i="7"/>
  <c r="N180" i="7"/>
  <c r="N179" i="7"/>
  <c r="N176" i="7"/>
  <c r="N175" i="7"/>
  <c r="N174" i="7"/>
  <c r="N171" i="7"/>
  <c r="M170" i="7"/>
  <c r="M169" i="7" s="1"/>
  <c r="L170" i="7"/>
  <c r="L169" i="7" s="1"/>
  <c r="K170" i="7"/>
  <c r="K169" i="7" s="1"/>
  <c r="J170" i="7"/>
  <c r="J169" i="7" s="1"/>
  <c r="I170" i="7"/>
  <c r="I169" i="7" s="1"/>
  <c r="H170" i="7"/>
  <c r="G170" i="7"/>
  <c r="G172" i="7" s="1"/>
  <c r="F170" i="7"/>
  <c r="E170" i="7"/>
  <c r="E172" i="7" s="1"/>
  <c r="D170" i="7"/>
  <c r="D172" i="7" s="1"/>
  <c r="E168" i="7"/>
  <c r="M165" i="7"/>
  <c r="L165" i="7"/>
  <c r="K165" i="7"/>
  <c r="J165" i="7"/>
  <c r="F165" i="7"/>
  <c r="E165" i="7"/>
  <c r="D165" i="7"/>
  <c r="K162" i="7"/>
  <c r="J162" i="7"/>
  <c r="I162" i="7"/>
  <c r="H162" i="7"/>
  <c r="G162" i="7"/>
  <c r="F162" i="7"/>
  <c r="E162" i="7"/>
  <c r="D162" i="7"/>
  <c r="N108" i="7"/>
  <c r="M106" i="7"/>
  <c r="M104" i="7" s="1"/>
  <c r="L106" i="7"/>
  <c r="K106" i="7"/>
  <c r="K104" i="7" s="1"/>
  <c r="J106" i="7"/>
  <c r="J104" i="7" s="1"/>
  <c r="I106" i="7"/>
  <c r="I104" i="7" s="1"/>
  <c r="H104" i="7"/>
  <c r="H103" i="7" s="1"/>
  <c r="N105" i="7"/>
  <c r="G104" i="7"/>
  <c r="G103" i="7" s="1"/>
  <c r="F104" i="7"/>
  <c r="E104" i="7"/>
  <c r="E103" i="7" s="1"/>
  <c r="N79" i="7"/>
  <c r="N78" i="7"/>
  <c r="N59" i="7"/>
  <c r="N58" i="7"/>
  <c r="N57" i="7"/>
  <c r="N56" i="7"/>
  <c r="N55" i="7"/>
  <c r="N54" i="7"/>
  <c r="N53" i="7"/>
  <c r="Q45" i="7" s="1"/>
  <c r="N52" i="7"/>
  <c r="I49" i="7"/>
  <c r="I165" i="7" s="1"/>
  <c r="H165" i="7"/>
  <c r="M164" i="7"/>
  <c r="L164" i="7"/>
  <c r="K164" i="7"/>
  <c r="H164" i="7"/>
  <c r="G164" i="7"/>
  <c r="F164" i="7"/>
  <c r="E164" i="7"/>
  <c r="N46" i="7"/>
  <c r="M40" i="7"/>
  <c r="L40" i="7"/>
  <c r="K40" i="7"/>
  <c r="J40" i="7"/>
  <c r="I40" i="7"/>
  <c r="H40" i="7"/>
  <c r="G40" i="7"/>
  <c r="F40" i="7"/>
  <c r="E40" i="7"/>
  <c r="D40" i="7"/>
  <c r="M38" i="7"/>
  <c r="L38" i="7"/>
  <c r="J38" i="7"/>
  <c r="I38" i="7"/>
  <c r="H38" i="7"/>
  <c r="G38" i="7"/>
  <c r="F38" i="7"/>
  <c r="E38" i="7"/>
  <c r="D38" i="7"/>
  <c r="N31" i="7"/>
  <c r="N30" i="7"/>
  <c r="N29" i="7"/>
  <c r="N28" i="7"/>
  <c r="M27" i="7"/>
  <c r="L27" i="7"/>
  <c r="K27" i="7"/>
  <c r="J27" i="7"/>
  <c r="J26" i="7" s="1"/>
  <c r="I27" i="7"/>
  <c r="I26" i="7" s="1"/>
  <c r="H27" i="7"/>
  <c r="H26" i="7" s="1"/>
  <c r="G27" i="7"/>
  <c r="G26" i="7" s="1"/>
  <c r="F27" i="7"/>
  <c r="F26" i="7" s="1"/>
  <c r="E27" i="7"/>
  <c r="E26" i="7" s="1"/>
  <c r="D27" i="7"/>
  <c r="D26" i="7" s="1"/>
  <c r="M39" i="7"/>
  <c r="K39" i="7"/>
  <c r="I39" i="7"/>
  <c r="H39" i="7"/>
  <c r="G39" i="7"/>
  <c r="F39" i="7"/>
  <c r="E39" i="7"/>
  <c r="Q170" i="7" l="1"/>
  <c r="L163" i="7"/>
  <c r="L161" i="7" s="1"/>
  <c r="L104" i="7"/>
  <c r="N214" i="7"/>
  <c r="N213" i="7"/>
  <c r="F351" i="7"/>
  <c r="F385" i="7" s="1"/>
  <c r="E14" i="3" s="1"/>
  <c r="M382" i="7"/>
  <c r="N25" i="7"/>
  <c r="D164" i="7"/>
  <c r="L211" i="7"/>
  <c r="E347" i="7"/>
  <c r="M45" i="7"/>
  <c r="K211" i="7"/>
  <c r="J164" i="7"/>
  <c r="F264" i="7"/>
  <c r="F383" i="7" s="1"/>
  <c r="D104" i="7"/>
  <c r="D103" i="7" s="1"/>
  <c r="K385" i="7"/>
  <c r="J14" i="3" s="1"/>
  <c r="H382" i="7"/>
  <c r="G11" i="3" s="1"/>
  <c r="I347" i="7"/>
  <c r="F382" i="7"/>
  <c r="E11" i="3" s="1"/>
  <c r="K163" i="7"/>
  <c r="K161" i="7" s="1"/>
  <c r="J45" i="7"/>
  <c r="E271" i="7"/>
  <c r="E270" i="7" s="1"/>
  <c r="E382" i="7"/>
  <c r="D11" i="3" s="1"/>
  <c r="E385" i="7"/>
  <c r="D14" i="3" s="1"/>
  <c r="H210" i="7"/>
  <c r="F270" i="7"/>
  <c r="J385" i="7"/>
  <c r="I14" i="3" s="1"/>
  <c r="M36" i="7"/>
  <c r="N106" i="7"/>
  <c r="N107" i="7"/>
  <c r="G382" i="7"/>
  <c r="F11" i="3" s="1"/>
  <c r="G210" i="7"/>
  <c r="J347" i="7"/>
  <c r="N274" i="7"/>
  <c r="I45" i="7"/>
  <c r="E36" i="7"/>
  <c r="N27" i="7"/>
  <c r="F36" i="7"/>
  <c r="J382" i="7"/>
  <c r="I11" i="3" s="1"/>
  <c r="H169" i="7"/>
  <c r="N209" i="7"/>
  <c r="L382" i="7"/>
  <c r="K11" i="3" s="1"/>
  <c r="N275" i="7"/>
  <c r="K382" i="7"/>
  <c r="J11" i="3" s="1"/>
  <c r="I164" i="7"/>
  <c r="J39" i="7"/>
  <c r="J36" i="7" s="1"/>
  <c r="L39" i="7"/>
  <c r="L36" i="7" s="1"/>
  <c r="D382" i="7"/>
  <c r="C11" i="3" s="1"/>
  <c r="I163" i="7"/>
  <c r="J271" i="7"/>
  <c r="J270" i="7" s="1"/>
  <c r="G347" i="7"/>
  <c r="D39" i="7"/>
  <c r="N40" i="7"/>
  <c r="L271" i="7"/>
  <c r="H347" i="7"/>
  <c r="H264" i="7"/>
  <c r="N348" i="7"/>
  <c r="I382" i="7"/>
  <c r="H11" i="3" s="1"/>
  <c r="G169" i="7"/>
  <c r="G36" i="7"/>
  <c r="G45" i="7"/>
  <c r="G44" i="7" s="1"/>
  <c r="N168" i="7"/>
  <c r="F265" i="7"/>
  <c r="F211" i="7"/>
  <c r="F210" i="7" s="1"/>
  <c r="K36" i="7"/>
  <c r="G173" i="7"/>
  <c r="G265" i="7" s="1"/>
  <c r="G264" i="7"/>
  <c r="H385" i="7"/>
  <c r="G14" i="3" s="1"/>
  <c r="I385" i="7"/>
  <c r="H14" i="3" s="1"/>
  <c r="K173" i="7"/>
  <c r="K264" i="7"/>
  <c r="L385" i="7"/>
  <c r="K14" i="3" s="1"/>
  <c r="E264" i="7"/>
  <c r="E173" i="7"/>
  <c r="E265" i="7" s="1"/>
  <c r="E384" i="7" s="1"/>
  <c r="D13" i="3" s="1"/>
  <c r="M264" i="7"/>
  <c r="M173" i="7"/>
  <c r="L347" i="7"/>
  <c r="N162" i="7"/>
  <c r="N349" i="7"/>
  <c r="K347" i="7"/>
  <c r="N38" i="7"/>
  <c r="H163" i="7"/>
  <c r="F169" i="7"/>
  <c r="N215" i="7"/>
  <c r="D350" i="7"/>
  <c r="D385" i="7"/>
  <c r="C14" i="3" s="1"/>
  <c r="J163" i="7"/>
  <c r="K45" i="7"/>
  <c r="K44" i="7" s="1"/>
  <c r="N49" i="7"/>
  <c r="I264" i="7"/>
  <c r="M266" i="7"/>
  <c r="N266" i="7" s="1"/>
  <c r="I271" i="7"/>
  <c r="I270" i="7" s="1"/>
  <c r="H45" i="7"/>
  <c r="H44" i="7" s="1"/>
  <c r="N170" i="7"/>
  <c r="J264" i="7"/>
  <c r="N263" i="7"/>
  <c r="D163" i="7"/>
  <c r="L264" i="7"/>
  <c r="M163" i="7"/>
  <c r="L45" i="7"/>
  <c r="N102" i="7"/>
  <c r="G165" i="7"/>
  <c r="D45" i="7"/>
  <c r="D44" i="7" s="1"/>
  <c r="N43" i="7"/>
  <c r="E45" i="7"/>
  <c r="E44" i="7" s="1"/>
  <c r="N48" i="7"/>
  <c r="N47" i="7"/>
  <c r="F161" i="7"/>
  <c r="F45" i="7"/>
  <c r="F44" i="7" s="1"/>
  <c r="E163" i="7"/>
  <c r="K265" i="7" l="1"/>
  <c r="O15" i="6"/>
  <c r="O21" i="6" s="1"/>
  <c r="G262" i="7"/>
  <c r="M265" i="7"/>
  <c r="M384" i="7" s="1"/>
  <c r="L13" i="3" s="1"/>
  <c r="Q15" i="6"/>
  <c r="Q21" i="6" s="1"/>
  <c r="L383" i="7"/>
  <c r="F347" i="7"/>
  <c r="N351" i="7"/>
  <c r="D36" i="7"/>
  <c r="N36" i="7" s="1"/>
  <c r="N39" i="7"/>
  <c r="N164" i="7"/>
  <c r="N26" i="7"/>
  <c r="D211" i="7"/>
  <c r="N211" i="7" s="1"/>
  <c r="N210" i="7" s="1"/>
  <c r="D161" i="7"/>
  <c r="F384" i="7"/>
  <c r="E13" i="3" s="1"/>
  <c r="I383" i="7"/>
  <c r="F262" i="7"/>
  <c r="I161" i="7"/>
  <c r="M383" i="7"/>
  <c r="K383" i="7"/>
  <c r="H383" i="7"/>
  <c r="N104" i="7"/>
  <c r="B11" i="3"/>
  <c r="K384" i="7"/>
  <c r="J13" i="3" s="1"/>
  <c r="M385" i="7"/>
  <c r="L14" i="3" s="1"/>
  <c r="M161" i="7"/>
  <c r="J383" i="7"/>
  <c r="N169" i="7"/>
  <c r="H161" i="7"/>
  <c r="N382" i="7"/>
  <c r="H173" i="7"/>
  <c r="H265" i="7" s="1"/>
  <c r="H384" i="7" s="1"/>
  <c r="G384" i="7"/>
  <c r="F13" i="3" s="1"/>
  <c r="N271" i="7"/>
  <c r="N270" i="7" s="1"/>
  <c r="K262" i="7"/>
  <c r="E262" i="7"/>
  <c r="G383" i="7"/>
  <c r="N172" i="7"/>
  <c r="D264" i="7"/>
  <c r="D173" i="7"/>
  <c r="M347" i="7"/>
  <c r="I173" i="7"/>
  <c r="I265" i="7" s="1"/>
  <c r="I384" i="7" s="1"/>
  <c r="N350" i="7"/>
  <c r="D347" i="7"/>
  <c r="L173" i="7"/>
  <c r="J173" i="7"/>
  <c r="J265" i="7" s="1"/>
  <c r="J161" i="7"/>
  <c r="M262" i="7"/>
  <c r="N165" i="7"/>
  <c r="G385" i="7"/>
  <c r="G161" i="7"/>
  <c r="N45" i="7"/>
  <c r="E383" i="7"/>
  <c r="E161" i="7"/>
  <c r="E12" i="3"/>
  <c r="N163" i="7"/>
  <c r="H13" i="3" l="1"/>
  <c r="G13" i="3"/>
  <c r="L265" i="7"/>
  <c r="P15" i="6"/>
  <c r="P21" i="6" s="1"/>
  <c r="J12" i="3"/>
  <c r="J10" i="3" s="1"/>
  <c r="L12" i="3"/>
  <c r="F12" i="3"/>
  <c r="I12" i="3"/>
  <c r="H12" i="3"/>
  <c r="K12" i="3"/>
  <c r="G12" i="3"/>
  <c r="N347" i="7"/>
  <c r="N103" i="7"/>
  <c r="D210" i="7"/>
  <c r="F381" i="7"/>
  <c r="E10" i="3"/>
  <c r="N44" i="7"/>
  <c r="L10" i="3"/>
  <c r="M381" i="7"/>
  <c r="K381" i="7"/>
  <c r="H381" i="7"/>
  <c r="I262" i="7"/>
  <c r="I381" i="7"/>
  <c r="H262" i="7"/>
  <c r="N264" i="7"/>
  <c r="J384" i="7"/>
  <c r="J262" i="7"/>
  <c r="D383" i="7"/>
  <c r="L262" i="7"/>
  <c r="L384" i="7"/>
  <c r="N173" i="7"/>
  <c r="D265" i="7"/>
  <c r="F14" i="3"/>
  <c r="B14" i="3" s="1"/>
  <c r="N385" i="7"/>
  <c r="N161" i="7"/>
  <c r="G381" i="7"/>
  <c r="E381" i="7"/>
  <c r="D12" i="3"/>
  <c r="D10" i="3" s="1"/>
  <c r="H10" i="3" l="1"/>
  <c r="G10" i="3"/>
  <c r="N265" i="7"/>
  <c r="N262" i="7" s="1"/>
  <c r="D384" i="7"/>
  <c r="I13" i="3"/>
  <c r="I10" i="3" s="1"/>
  <c r="J381" i="7"/>
  <c r="D262" i="7"/>
  <c r="C12" i="3"/>
  <c r="N383" i="7"/>
  <c r="K13" i="3"/>
  <c r="K10" i="3" s="1"/>
  <c r="L381" i="7"/>
  <c r="F10" i="3"/>
  <c r="C13" i="3" l="1"/>
  <c r="B13" i="3" s="1"/>
  <c r="N384" i="7"/>
  <c r="B12" i="3"/>
  <c r="D381" i="7"/>
  <c r="N381" i="7" s="1"/>
  <c r="C10" i="3" l="1"/>
  <c r="B10" i="3" s="1"/>
</calcChain>
</file>

<file path=xl/sharedStrings.xml><?xml version="1.0" encoding="utf-8"?>
<sst xmlns="http://schemas.openxmlformats.org/spreadsheetml/2006/main" count="748" uniqueCount="200">
  <si>
    <t>Наименование мероприятия</t>
  </si>
  <si>
    <t>Наименование показателя</t>
  </si>
  <si>
    <t>Значение показателя</t>
  </si>
  <si>
    <t>В том числе по годам реализации</t>
  </si>
  <si>
    <t>Итого</t>
  </si>
  <si>
    <t>Количество</t>
  </si>
  <si>
    <t>км</t>
  </si>
  <si>
    <t>Сумма затрат, в том числе:</t>
  </si>
  <si>
    <t>Местный бюджет</t>
  </si>
  <si>
    <t>Сумма затрат:</t>
  </si>
  <si>
    <t>тыс.руб.</t>
  </si>
  <si>
    <t>Задача 1 : Развитие системы теплоснабжения города Оби Новосибирской области</t>
  </si>
  <si>
    <t>Областной бюджет</t>
  </si>
  <si>
    <t>3.1. Проектирование для строительства, реконструкции, модернизации объектов водоотведения</t>
  </si>
  <si>
    <t>3.2. Строительство, реконструкция, модернизация объектов водоотведения</t>
  </si>
  <si>
    <t>Стоимость единицы</t>
  </si>
  <si>
    <t>Федеральный бюджет</t>
  </si>
  <si>
    <t>Внебюджетные источники</t>
  </si>
  <si>
    <t>Ответственный исполнитель</t>
  </si>
  <si>
    <t>Ожидаемый результат</t>
  </si>
  <si>
    <t>Цель 2 : Обеспечение надежного, устойчивого водоснабжения потребителей города Оби Новосибирской области</t>
  </si>
  <si>
    <t>Цель 3 : Обеспечение надежного, устойчивого водоотведения потребителей города Оби Новосибирской области</t>
  </si>
  <si>
    <t>шт.</t>
  </si>
  <si>
    <t>Примечание</t>
  </si>
  <si>
    <t>шт</t>
  </si>
  <si>
    <t>Таблица 1</t>
  </si>
  <si>
    <t>Источники и объемы расходов по программе</t>
  </si>
  <si>
    <t>Всего</t>
  </si>
  <si>
    <t>Всего финансовых затрат, в том числе из:</t>
  </si>
  <si>
    <t>Федерального бюджета</t>
  </si>
  <si>
    <t>Областного бюджета</t>
  </si>
  <si>
    <t>Местного бюджета</t>
  </si>
  <si>
    <t>Внебюджетных источников</t>
  </si>
  <si>
    <t>Таблица 2</t>
  </si>
  <si>
    <t xml:space="preserve">Источники финансирования </t>
  </si>
  <si>
    <t>местного бюджета</t>
  </si>
  <si>
    <t>№п.п.</t>
  </si>
  <si>
    <t>Наименование расходного обязательства</t>
  </si>
  <si>
    <t>Период реализации программы</t>
  </si>
  <si>
    <t>1.</t>
  </si>
  <si>
    <t>Цель 1 : Обеспечение надежного, устойчивого теплоснабжения потребителей города Оби Новосибирской области</t>
  </si>
  <si>
    <t>Задача 1 : Развитие системы водоснабжения города Оби Новосибирской области</t>
  </si>
  <si>
    <t>Цель 4 : Обеспечение надежного, устойчивого электроснабжения потребителей города Оби Новосибирской области</t>
  </si>
  <si>
    <t>Задача 1 : Развитие системы водоотведения города Оби Новосибирской области</t>
  </si>
  <si>
    <t>Задача 1 : Развитие системы электроснабжения города Оби Новосибирской области</t>
  </si>
  <si>
    <t>Итого затрат на решение задачи 1 цели 1, в том числе:</t>
  </si>
  <si>
    <t>Сумма затрат, в т.ч.:</t>
  </si>
  <si>
    <t>Итого затрат по программе, в том числе:</t>
  </si>
  <si>
    <t>Итого затрат на решение задачи 1 цели 3, в том числе:</t>
  </si>
  <si>
    <t>Итого затрат на решение задачи 1 цели 4, в том числе:</t>
  </si>
  <si>
    <t>Итого затрат на решение задачи 1 цели 2, в том числе:</t>
  </si>
  <si>
    <t>2.1. Проектирование для строительства, реконструкции, модернизации объектов водоснабжения</t>
  </si>
  <si>
    <t>2.2. Строительство, реконструкция, модернизация объектов водоснабжения</t>
  </si>
  <si>
    <t>Повышение надежности и качества предоставляемых услуг; снижение уровня износа объектов коммунальной инфраструктуры; обеспечение инженерной инфраструктурой земельных участков</t>
  </si>
  <si>
    <t>Управление ЖКХ и Б, МКУ "ОКС",  МУП "Горводоканал"</t>
  </si>
  <si>
    <t>Управление ЖКХ и Б, МКУ "ОКС". МУП "Горводоканал"</t>
  </si>
  <si>
    <t>согласно ПСД</t>
  </si>
  <si>
    <t>Управление ЖКХ и Б, МКУ "ОКС«</t>
  </si>
  <si>
    <t xml:space="preserve">Финансовые затраты </t>
  </si>
  <si>
    <t>Ед. изм.</t>
  </si>
  <si>
    <t>Управление ЖКХ и Б, МКУ "ОКС«, МУП "Горводоканал«, АО «Аэропорт Толмачево«</t>
  </si>
  <si>
    <t>2.2.1. Строительство водопроводных сетей ул.Станционная</t>
  </si>
  <si>
    <t>2.2.4. Капитальный ремонт водопроводных сетей  ул.Байдукова г.Оби</t>
  </si>
  <si>
    <t>3.1.1. Разработка ПСД на реконструкцию КНС-5а и строительство напорного коллектора от ул.Геодезическая до ул.Строительная г.Оби</t>
  </si>
  <si>
    <t>3.2.3. Реконструкция КНС-5а и строительство напорного коллектора от ул.Геодезическая до ул.Строительная г.Оби</t>
  </si>
  <si>
    <t>3.2.4. Строительство канализационного коллектора по ул. Путейцев г.Оби</t>
  </si>
  <si>
    <t xml:space="preserve">3.2.5.  Реконструкция напорного коллектора Д200мм от КНС-5 г.Оби </t>
  </si>
  <si>
    <t>3.2.6. Реконструкция КНС-3 и напорного трубопровода 2д 150 мм, ул.Строительная г.Оби</t>
  </si>
  <si>
    <t>3.2.7. Реконструкция коллектора от КНС-2 ул.Покрышкина  до самотечного коллектора 1000 мм по ул.Железнодорожная г.Оби</t>
  </si>
  <si>
    <t>3.2.8. Реконструкция КНС-2 с применением энергоэффективного оборудования</t>
  </si>
  <si>
    <t>3.2.2. Строительство КНС и напорного коллектора от ул.Путейцев г.Оби под железной дорогой до  КНС-6 ул.Муромская</t>
  </si>
  <si>
    <t>2024 год</t>
  </si>
  <si>
    <t>2025 год</t>
  </si>
  <si>
    <t>2026 год</t>
  </si>
  <si>
    <t>2027 год</t>
  </si>
  <si>
    <t>2028 год</t>
  </si>
  <si>
    <t>2029 год</t>
  </si>
  <si>
    <t>2030 год</t>
  </si>
  <si>
    <t>2031 год</t>
  </si>
  <si>
    <t>2032 год</t>
  </si>
  <si>
    <t>2033 год</t>
  </si>
  <si>
    <t>Повышение надежности и качества предоставляемых услуг; снижение уровня износа объектов коммунальной инфраструктуры</t>
  </si>
  <si>
    <t>Сумма затрат</t>
  </si>
  <si>
    <t>тыс. руб.</t>
  </si>
  <si>
    <t>Приложение 2</t>
  </si>
  <si>
    <t>1.1. Строительство, реконструкция и модернизация   объектов теплоснабжения</t>
  </si>
  <si>
    <t>1.1.1. Исполнение схемы теплоснабжения единой теплоснабжающей организацией ООО "Центр" (приведение муниципальных тепловых сетей г.Оби  в нормативное состояние)</t>
  </si>
  <si>
    <t>1.2.1. Приобретение материалов для выполнения текущего ремонта на инженерных сетях г.Оби</t>
  </si>
  <si>
    <t xml:space="preserve">Мероприятия  Программы </t>
  </si>
  <si>
    <t xml:space="preserve">        Сводные финансовые затраты Программы</t>
  </si>
  <si>
    <t>Программы в разрезе реестра расходных обязательств и ведомственной структуры расходов</t>
  </si>
  <si>
    <t>Выполнение мероприятий по программе комплексного развития системы коммунальной инфраструктуры  города Оби Новосибирской области на 2024-2028 годы и период до 2034 года</t>
  </si>
  <si>
    <t>Приложение 1</t>
  </si>
  <si>
    <t xml:space="preserve">км </t>
  </si>
  <si>
    <t>Администрация города Оби Новосибирской области</t>
  </si>
  <si>
    <t>Повышение надежности работы КНС-1</t>
  </si>
  <si>
    <t xml:space="preserve">3.2.1. Реконструкция системы водоотведения г.Оби (реконструкция КНС-9, строительство КНС-8, строительство напорного коллектора от КНС-9 до ул. Строительная Д 1000мм). Строительство приемной камеры на  напорно-самотечном коллекторе в точке подключения на ул. Строительная </t>
  </si>
  <si>
    <t xml:space="preserve">2.2.2. Строительство  водопроводных сетей  и пожарного резервуара ул.Сигнальная </t>
  </si>
  <si>
    <t>4.1.1.Реконструкция РП-10 кВ №6001 в части замены масляных выключателей 10 кВ на вакуумные</t>
  </si>
  <si>
    <t>4.1.2.Реконструкция РП-10 кВ №6002 в части замены масляных выключателей 10 кВ на вакуумные</t>
  </si>
  <si>
    <t>4.1.3.Реконструкция РП-10 кВ №6004 в части замены масляных выключателей 10 кВ на вакуумные</t>
  </si>
  <si>
    <t>4.1.4.Реконструкция РП-10 кВ №6005 в части замены масляных выключателей 10 кВ на вакуумные</t>
  </si>
  <si>
    <t xml:space="preserve">4.1.5.Реконструкция ТП-10/0,4 кВ №6071 в части монтажа в РУ-10 кВ вакуумного выключателя 10 кВ по адресу: Новосибирская область, г.Обь, ул. Вокзальная
</t>
  </si>
  <si>
    <t xml:space="preserve">4.1.6.Реконструкция КЛ-10 кВ Ф.11-561 ПС 110 кВ Толмачевская от яч.113 до яч.2 ТП-10/0,4 кВ №6068, от яч.5 ТП-10/0,4 кВ №6068 до яч.4 ТП-10/0,4 кВ №6015, от яч.3 ТП-10/0,4 кВ №6015 до оп. 1 расположенного по адресу: НСО, Новосибирский район, Толмачевский сельсовет, г. Обь
</t>
  </si>
  <si>
    <t xml:space="preserve">4.1.7.Реконструкция ЛЭП-10 кВ Ф-2, Ф-4, Ф-6, Ф-11 ПС 35 кВ Верх-Тула с переводом на ПС 110 кВ Залив 
</t>
  </si>
  <si>
    <t xml:space="preserve">4.1.8.Установка интеллектуального разъединителя, реклоузера на участке сети 10 кВ ПС Строительная ф.11-425 оп.71/2 и Р-8-2 оп. 96 связь с ф.11-568
</t>
  </si>
  <si>
    <t>4.1.9.Установка реклоузера 10 кВ между ф.11-570 и ф.11-566 ПС Толмачевская</t>
  </si>
  <si>
    <t>4.1.10.Установка реклоузеров ф.4 оп.74 Р-19, оп.88 Р-269 ТПС 110 кВ Сады связь с ф.11-566</t>
  </si>
  <si>
    <t>4.1.11.Реконструкция ВЛ-10 кВ Ф-11-561 ПС 110 кВ Толмачевская в части установки  интеллектуальных разъединителей (оп.17, оп.46), реклоузера (оп.60), замены выключателя 10 кВ в РУ-10 кВ ТП-6068 по адресу: Новосибирская область, г.Обь</t>
  </si>
  <si>
    <t>4.1.12.Модернизация ВЛ-10кВ ф.11-414 ПС Строительная в части установки реклоузера (1 шт.) на опоре 1</t>
  </si>
  <si>
    <t>4.1.13.Строительство ЛЭП-10 кВ Ф.11-555 и Ф.11-556  ПС 110 кВ Толмачевская (взамен арендованных),  Толмачевский с/с Новосибирского района  и г. Обь НСО</t>
  </si>
  <si>
    <t>4.1.14.Строительство ВЛ 0,4 кВ ВЛ-1 от ТП-6019 в г. Обь взамен арендованных сетей</t>
  </si>
  <si>
    <t>4.1.15.Строительство ТП-10/0,4 кВ №6003, 6004, 6023, 6028, 6029, 6051, 6064, 6089 по адресу: Новосибирская область, г. Обь</t>
  </si>
  <si>
    <t>4.1. Строительство, реконструкция, модернизация объектов электроснабжения</t>
  </si>
  <si>
    <t>АО "РЭС"</t>
  </si>
  <si>
    <t xml:space="preserve"> АО "РЭС"</t>
  </si>
  <si>
    <t>4.1.17.Текущий ремонт уличного освещения по ул. Чапаева, Матросова</t>
  </si>
  <si>
    <t>4.1.16. Приведение в соответствии с ГОСТ уличного освещения по ул. Большая</t>
  </si>
  <si>
    <t>4.1.18. Приведение в соответствие с ГОСТ освещённости ул. Заводская, 40/1-39</t>
  </si>
  <si>
    <t>4.1.19.Приведение в соответствие с ГОСТ освещённости пер. Байдукова; проездов Береговая, 96-Вокзальная, 99; Береговая, 113-Вокзальная, 133; Береговая,133-Вокзальная, 139А;  Береговая, 145-Вокзальная, 161; Береговая, 161-Вокзальная, 197; перекрёсток ул. Садовой- пер.Школьный</t>
  </si>
  <si>
    <t>МБУ "УК ЖКХ"</t>
  </si>
  <si>
    <t>Приведение в соответствии с ГОСТ уличного освещения</t>
  </si>
  <si>
    <t>3.2.10. Реконструкция КНС-4, ул. Октябрьская г.Оби</t>
  </si>
  <si>
    <t>3.2.11. Реконструкция  КНС-7, ул. Дорожников г.Оби</t>
  </si>
  <si>
    <t>2.2.3.Строительство водопроводных сетей по ул. О.Кошевого от пер.Байдукова до пер. Безымянный в г.Оби  (430м)</t>
  </si>
  <si>
    <t>2.1.1.Разработка ПСД на строительство водопроводных сетей от дома № 24 ЖКО Аэропорта 24 до дома № 27 ЖКО Аэропорта диаметром 100 мм (L= 1,6 км)</t>
  </si>
  <si>
    <t>2.1.2.Разработка ПСД на строительство водопроводных сетей частного сектора ул. Рабочая (24 дома)</t>
  </si>
  <si>
    <t>2.1.3. Разработка ПСД на капитальный ремонт водопроводных сетей  ул.Байдукова г.Оби</t>
  </si>
  <si>
    <t>2.2.6. Строительство водопроводных сетей от дома № 24 ЖКО Аэропорта 24 до дома № 27 ЖКО Аэропорта диаметром 100 мм, L=1,6 км</t>
  </si>
  <si>
    <t>2.2.7. Строительство  водопроводных сетей  ул.Путейцев г.Оби</t>
  </si>
  <si>
    <t>2.2.8. Капитальный ремонт участка водопроводной сети от ул. ЖКО Аэропорта 26/1 до ул. ЖКО Аэропорта 25 (270 м)</t>
  </si>
  <si>
    <t>2.1.4. Разработка ПСД на реконструкцию ВНС-2</t>
  </si>
  <si>
    <t>2.1.5. Разработка ПСД на капитальный ремонт участка водопроводной сети от ул. ЖКО Аэропорта 26/1 до ул. ЖКО Аэропорта 25 (270 м)</t>
  </si>
  <si>
    <t>2.1.6. Разработка ПСД на строительство второго водовода Д300 мм до РЧВ  ВНС-2</t>
  </si>
  <si>
    <t>2.1.7. Разработка ПСД  на строительство водопроводных сетей по ул. О.Кошевого от пер.Байдукова до пер. Безымянный в г.Оби  (430м)</t>
  </si>
  <si>
    <t>2.1.9. Разработка ПСД на установку пожарных гидрантов на существующих водопроводных сетях в г. Оби Новосибирской области</t>
  </si>
  <si>
    <t>2.1.12.Разработка ПСД на капитальный ремонт участка водопровода от ул. М.Горького 1 до ул. Шевченко 1а (330 м)</t>
  </si>
  <si>
    <t>2.1.11.Разработка ПСД на капитальный ремонт участка водопровода от ул. ЖКО Аэропорта 22 до ул. ЖКО Аэропорта 9 (130 м)</t>
  </si>
  <si>
    <t>2.2.5. Строительство водопроводных сетей ул.Рабочая г.Оби</t>
  </si>
  <si>
    <t>2.2.9. Реконструкция ВНС-2 в г.Оби</t>
  </si>
  <si>
    <t xml:space="preserve">2.2.11. Строительство водопроводных сетей по ул. О.Кошевого от пер.Байдукова до пер. Безымянный </t>
  </si>
  <si>
    <t>3.2.9. Реконструкция  КНС-6 ул.Муромская и напорного коллектора до ул. Строительная</t>
  </si>
  <si>
    <t>2.1.8. Разработка ПСД на строительство водопровода по ул. Сигнальная (ИЖС)</t>
  </si>
  <si>
    <t xml:space="preserve"> согласно ПСД</t>
  </si>
  <si>
    <t>КБК</t>
  </si>
  <si>
    <t>3.2.23.Приобретение и установка насосного оборудования, материалов на КНС г.Оби</t>
  </si>
  <si>
    <t>2.1.13.Разработка ПСД на строительство водопроводных сетей ул. Тенистая г.Оби</t>
  </si>
  <si>
    <t>2.1.14. Разработка ПСД на строительство водопроводных сетей ул. Станционная г.Оби</t>
  </si>
  <si>
    <t>ГРБС</t>
  </si>
  <si>
    <t>РЗ</t>
  </si>
  <si>
    <t>ПР</t>
  </si>
  <si>
    <t>ЦСР</t>
  </si>
  <si>
    <t>КВР</t>
  </si>
  <si>
    <t>05</t>
  </si>
  <si>
    <t>02</t>
  </si>
  <si>
    <t>0910570600</t>
  </si>
  <si>
    <t>811</t>
  </si>
  <si>
    <t xml:space="preserve">730 </t>
  </si>
  <si>
    <t>0910570619</t>
  </si>
  <si>
    <t>414</t>
  </si>
  <si>
    <t>9900003439</t>
  </si>
  <si>
    <t>6600002260</t>
  </si>
  <si>
    <t>243</t>
  </si>
  <si>
    <t>0940170640</t>
  </si>
  <si>
    <t>0940170649</t>
  </si>
  <si>
    <t>0920209881</t>
  </si>
  <si>
    <t>0920209889</t>
  </si>
  <si>
    <t>9900000126</t>
  </si>
  <si>
    <t>2.1.10. Разработка ПСД на реконструкцию участка водопровода от совхоза до ул. Шевченко № 00120827 (кадастровый номер 54:36:000000:737) (участок водопровода по пер. Водопроводный от ул. Вокзальная до ул. Шевченко 1250 м)</t>
  </si>
  <si>
    <t>2.1.15. Разработка ПСД на строительство водопроводных сетей ул. 2-й км г.Оби</t>
  </si>
  <si>
    <t>2.1.16.Разработка ПСД на строительство водопроводных сетей ул. 3-я Северная г.Оби</t>
  </si>
  <si>
    <t>730</t>
  </si>
  <si>
    <t>244</t>
  </si>
  <si>
    <t>03</t>
  </si>
  <si>
    <t>9900007270</t>
  </si>
  <si>
    <t>611</t>
  </si>
  <si>
    <t>2.2.10. Установка дополнительных пожарных гидрантов на существующих сетях водоснабжения г.Оби</t>
  </si>
  <si>
    <t>ИСКЛЮчить</t>
  </si>
  <si>
    <t xml:space="preserve">3.1.2.  Разработка ПСД на реконструкцию напорного коллектора Д200мм от КНС-5 г.Оби </t>
  </si>
  <si>
    <t>3.1.3. Разработка ПСД на реконструкцию КНС-3 и напорного трубопровода 2д 150 мм, ул.Строительная г.Оби</t>
  </si>
  <si>
    <t>3.1.4. Разработка ПСД на реконструкцию коллектора от КНС-2 ул.Покрышкина  до самотечного коллектора 1000 мм по ул.Железнодорожная г.Оби</t>
  </si>
  <si>
    <t>3.1.5. Разработка ПСД на реконструкцию КНС-2 с применением энергоэффективного оборудования</t>
  </si>
  <si>
    <t>3.1.6. Разработка ПСД на реконструкцию КНС-6 ул.Муромская и напорного коллектора до ул. Строительная г.Оби</t>
  </si>
  <si>
    <t>3.1.8 Разработка ПСД на реконструкцию КНС-7, ул.Дорожников г.Оби</t>
  </si>
  <si>
    <t>3.1.9. Разработка ПСД на строительство системы водоотведения ул. Путейцев г.Оби</t>
  </si>
  <si>
    <t>3.1.7. Разработка ПСД на реконструкцию КНС-4,  ул.Октябрьская г.Оби</t>
  </si>
  <si>
    <t>3.1.10. Разработка ПСД на реконструкцию системы водоотведения города Оби</t>
  </si>
  <si>
    <t>3.1.11.Разработка ПСД на строительство самотечных сетей ливневой канализации I очередь</t>
  </si>
  <si>
    <t>3.1.12.Разработка ПСД на строительство самотечных сетей ливневой канализации II очередь</t>
  </si>
  <si>
    <t>3.1.13.Разработка на строительство ливневых очистных сооружений</t>
  </si>
  <si>
    <t>2.2.14.Капитальный ремонт участка водопровода по пер. Водопроводный от ул. Вокзальная до ул. Шевченко</t>
  </si>
  <si>
    <t>2.2.15.Капитальный ремонт участка водопровода от ул. ЖКО Аэропорта 22 до ул. ЖКО Аэропорта 9</t>
  </si>
  <si>
    <t>2.2.16.Капитальный ремонт участка водопровода от ул. М.Горького 1 до ул. Шевченко 1а</t>
  </si>
  <si>
    <t>2.2.17. Реконструкция участка водопровода от совхоза до ул. Шевченко № 00120827 (кадастровый номер 54:36:000000:737) (участок водопровода по пер. Водопроводный от ул. Вокзальная до ул. Шевченко 1250 м)</t>
  </si>
  <si>
    <t>2.2.18. Строительство водопроводных сетей ул. 2-км  г.Оби (ИЖС)</t>
  </si>
  <si>
    <t>2.2.19. Строительство водопроводных сетей ул.3 -я Северная  г.Оби (ИЖС)</t>
  </si>
  <si>
    <t>2.2.12. Строительство водопроводных сетей ул. Тенистая г.Оби</t>
  </si>
  <si>
    <t>2.2.13. Строительство водопроводных сетей ул. Сигнальная г.Оби (ИЖС)</t>
  </si>
  <si>
    <t>3.2.22.Приобретение и установка стационарной дизель-генераторной установки на КНС-1 (2025), КНС-12 а (2027) в г.Оби</t>
  </si>
  <si>
    <t>к  решению 50 сессии Совета депутатов города Оби Новосибирской области от 09.09.2026 №626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</si>
</sst>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u/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0" fillId="0" borderId="0">
      <alignment horizontal="left" wrapText="1"/>
    </xf>
  </cellStyleXfs>
  <cellXfs count="214">
    <xf numFmtId="0" fontId="0" fillId="0" borderId="0" xfId="0"/>
    <xf numFmtId="0" fontId="8" fillId="0" borderId="0" xfId="0" applyFont="1"/>
    <xf numFmtId="0" fontId="7" fillId="0" borderId="0" xfId="0" applyFont="1" applyAlignment="1">
      <alignment horizontal="right"/>
    </xf>
    <xf numFmtId="0" fontId="8" fillId="2" borderId="0" xfId="0" applyFont="1" applyFill="1"/>
    <xf numFmtId="0" fontId="7" fillId="2" borderId="0" xfId="0" applyFont="1" applyFill="1" applyAlignment="1">
      <alignment horizontal="right"/>
    </xf>
    <xf numFmtId="0" fontId="7" fillId="2" borderId="1" xfId="0" applyFont="1" applyFill="1" applyBorder="1" applyAlignment="1">
      <alignment horizontal="justify" vertical="top" wrapText="1"/>
    </xf>
    <xf numFmtId="0" fontId="8" fillId="2" borderId="1" xfId="0" applyFont="1" applyFill="1" applyBorder="1"/>
    <xf numFmtId="164" fontId="7" fillId="2" borderId="1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justify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2" fillId="2" borderId="0" xfId="0" applyFont="1" applyFill="1"/>
    <xf numFmtId="0" fontId="9" fillId="2" borderId="0" xfId="0" applyFont="1" applyFill="1" applyAlignment="1">
      <alignment horizontal="center" vertical="center"/>
    </xf>
    <xf numFmtId="0" fontId="4" fillId="2" borderId="0" xfId="0" applyFont="1" applyFill="1"/>
    <xf numFmtId="0" fontId="9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9" fillId="2" borderId="0" xfId="0" applyNumberFormat="1" applyFont="1" applyFill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7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vertical="center" wrapText="1"/>
    </xf>
    <xf numFmtId="164" fontId="12" fillId="2" borderId="6" xfId="0" applyNumberFormat="1" applyFont="1" applyFill="1" applyBorder="1" applyAlignment="1">
      <alignment vertical="center" wrapText="1"/>
    </xf>
    <xf numFmtId="164" fontId="4" fillId="2" borderId="0" xfId="0" applyNumberFormat="1" applyFont="1" applyFill="1"/>
    <xf numFmtId="164" fontId="9" fillId="2" borderId="0" xfId="0" applyNumberFormat="1" applyFont="1" applyFill="1" applyAlignment="1">
      <alignment vertical="center" wrapText="1"/>
    </xf>
    <xf numFmtId="0" fontId="9" fillId="2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64" fontId="10" fillId="2" borderId="0" xfId="0" applyNumberFormat="1" applyFont="1" applyFill="1" applyAlignment="1">
      <alignment horizontal="left" vertical="top" wrapText="1"/>
    </xf>
    <xf numFmtId="164" fontId="14" fillId="2" borderId="1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left" vertical="top" wrapText="1"/>
    </xf>
    <xf numFmtId="164" fontId="2" fillId="2" borderId="6" xfId="0" applyNumberFormat="1" applyFont="1" applyFill="1" applyBorder="1" applyAlignment="1">
      <alignment horizontal="left" vertical="top" wrapText="1"/>
    </xf>
    <xf numFmtId="164" fontId="12" fillId="2" borderId="17" xfId="0" applyNumberFormat="1" applyFont="1" applyFill="1" applyBorder="1" applyAlignment="1">
      <alignment vertical="center" wrapText="1"/>
    </xf>
    <xf numFmtId="164" fontId="12" fillId="2" borderId="19" xfId="0" applyNumberFormat="1" applyFont="1" applyFill="1" applyBorder="1" applyAlignment="1">
      <alignment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164" fontId="12" fillId="2" borderId="16" xfId="0" applyNumberFormat="1" applyFont="1" applyFill="1" applyBorder="1" applyAlignment="1">
      <alignment vertical="center" wrapText="1"/>
    </xf>
    <xf numFmtId="164" fontId="14" fillId="2" borderId="15" xfId="0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4" fontId="15" fillId="2" borderId="8" xfId="0" applyNumberFormat="1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3" fillId="2" borderId="0" xfId="0" applyFont="1" applyFill="1"/>
    <xf numFmtId="0" fontId="12" fillId="2" borderId="0" xfId="0" applyFont="1" applyFill="1" applyAlignment="1">
      <alignment horizontal="center"/>
    </xf>
    <xf numFmtId="164" fontId="3" fillId="2" borderId="15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justify" vertical="top" wrapText="1"/>
    </xf>
    <xf numFmtId="1" fontId="7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/>
    <xf numFmtId="164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12" fillId="2" borderId="15" xfId="0" applyNumberFormat="1" applyFont="1" applyFill="1" applyBorder="1" applyAlignment="1">
      <alignment vertical="center" wrapText="1"/>
    </xf>
    <xf numFmtId="164" fontId="12" fillId="2" borderId="18" xfId="0" applyNumberFormat="1" applyFont="1" applyFill="1" applyBorder="1" applyAlignment="1">
      <alignment vertical="center" wrapText="1"/>
    </xf>
    <xf numFmtId="164" fontId="12" fillId="2" borderId="20" xfId="0" applyNumberFormat="1" applyFont="1" applyFill="1" applyBorder="1" applyAlignment="1">
      <alignment vertical="center" wrapText="1"/>
    </xf>
    <xf numFmtId="2" fontId="12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/>
    </xf>
    <xf numFmtId="2" fontId="21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21" fillId="2" borderId="1" xfId="1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1" fontId="2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164" fontId="3" fillId="2" borderId="16" xfId="0" applyNumberFormat="1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left" vertical="center"/>
    </xf>
    <xf numFmtId="0" fontId="8" fillId="2" borderId="0" xfId="0" applyFont="1" applyFill="1" applyAlignment="1">
      <alignment wrapText="1"/>
    </xf>
    <xf numFmtId="164" fontId="19" fillId="2" borderId="19" xfId="0" applyNumberFormat="1" applyFont="1" applyFill="1" applyBorder="1" applyAlignment="1">
      <alignment vertical="center" wrapText="1"/>
    </xf>
    <xf numFmtId="164" fontId="19" fillId="2" borderId="20" xfId="0" applyNumberFormat="1" applyFont="1" applyFill="1" applyBorder="1" applyAlignment="1">
      <alignment vertical="center" wrapText="1"/>
    </xf>
    <xf numFmtId="0" fontId="12" fillId="2" borderId="15" xfId="0" applyFont="1" applyFill="1" applyBorder="1" applyAlignment="1">
      <alignment vertical="center"/>
    </xf>
    <xf numFmtId="0" fontId="12" fillId="2" borderId="17" xfId="0" applyFont="1" applyFill="1" applyBorder="1" applyAlignment="1">
      <alignment vertical="center"/>
    </xf>
    <xf numFmtId="0" fontId="12" fillId="2" borderId="18" xfId="0" applyFont="1" applyFill="1" applyBorder="1" applyAlignment="1">
      <alignment vertical="center"/>
    </xf>
    <xf numFmtId="0" fontId="12" fillId="2" borderId="19" xfId="0" applyFont="1" applyFill="1" applyBorder="1" applyAlignment="1">
      <alignment vertical="center"/>
    </xf>
    <xf numFmtId="1" fontId="3" fillId="2" borderId="16" xfId="0" applyNumberFormat="1" applyFont="1" applyFill="1" applyBorder="1" applyAlignment="1">
      <alignment horizontal="center" vertical="center" wrapText="1"/>
    </xf>
    <xf numFmtId="0" fontId="22" fillId="2" borderId="0" xfId="0" applyFont="1" applyFill="1" applyAlignment="1">
      <alignment wrapText="1"/>
    </xf>
    <xf numFmtId="164" fontId="2" fillId="2" borderId="16" xfId="0" applyNumberFormat="1" applyFont="1" applyFill="1" applyBorder="1" applyAlignment="1">
      <alignment horizontal="center" vertical="center" wrapText="1"/>
    </xf>
    <xf numFmtId="164" fontId="15" fillId="2" borderId="16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/>
    <xf numFmtId="0" fontId="12" fillId="2" borderId="16" xfId="0" applyFont="1" applyFill="1" applyBorder="1" applyAlignment="1">
      <alignment horizontal="center"/>
    </xf>
    <xf numFmtId="0" fontId="12" fillId="2" borderId="16" xfId="0" applyFont="1" applyFill="1" applyBorder="1"/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164" fontId="12" fillId="2" borderId="16" xfId="0" applyNumberFormat="1" applyFont="1" applyFill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12" fillId="2" borderId="16" xfId="0" applyFont="1" applyFill="1" applyBorder="1" applyAlignment="1">
      <alignment horizontal="center" vertical="center"/>
    </xf>
    <xf numFmtId="0" fontId="8" fillId="0" borderId="1" xfId="0" applyFont="1" applyBorder="1"/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wrapText="1"/>
    </xf>
    <xf numFmtId="164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8" fillId="0" borderId="0" xfId="0" applyNumberFormat="1" applyFont="1"/>
    <xf numFmtId="3" fontId="24" fillId="0" borderId="0" xfId="0" applyNumberFormat="1" applyFont="1"/>
    <xf numFmtId="164" fontId="12" fillId="2" borderId="19" xfId="0" applyNumberFormat="1" applyFont="1" applyFill="1" applyBorder="1" applyAlignment="1">
      <alignment horizontal="center" vertical="center" wrapText="1"/>
    </xf>
    <xf numFmtId="164" fontId="12" fillId="2" borderId="20" xfId="0" applyNumberFormat="1" applyFont="1" applyFill="1" applyBorder="1" applyAlignment="1">
      <alignment horizontal="center" vertical="center" wrapText="1"/>
    </xf>
    <xf numFmtId="164" fontId="12" fillId="2" borderId="15" xfId="0" applyNumberFormat="1" applyFont="1" applyFill="1" applyBorder="1" applyAlignment="1">
      <alignment horizontal="center" vertical="center" wrapText="1"/>
    </xf>
    <xf numFmtId="164" fontId="12" fillId="2" borderId="16" xfId="0" applyNumberFormat="1" applyFont="1" applyFill="1" applyBorder="1" applyAlignment="1">
      <alignment horizontal="center" vertical="center" wrapText="1"/>
    </xf>
    <xf numFmtId="164" fontId="12" fillId="2" borderId="17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64" fontId="12" fillId="2" borderId="16" xfId="0" applyNumberFormat="1" applyFont="1" applyFill="1" applyBorder="1" applyAlignment="1">
      <alignment horizontal="left" indent="1"/>
    </xf>
    <xf numFmtId="164" fontId="8" fillId="2" borderId="1" xfId="0" applyNumberFormat="1" applyFont="1" applyFill="1" applyBorder="1" applyAlignment="1">
      <alignment horizontal="center"/>
    </xf>
    <xf numFmtId="164" fontId="12" fillId="2" borderId="16" xfId="0" applyNumberFormat="1" applyFont="1" applyFill="1" applyBorder="1" applyAlignment="1">
      <alignment horizontal="center"/>
    </xf>
    <xf numFmtId="164" fontId="12" fillId="2" borderId="1" xfId="0" applyNumberFormat="1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vertical="top" wrapText="1"/>
    </xf>
    <xf numFmtId="0" fontId="3" fillId="2" borderId="23" xfId="0" applyFont="1" applyFill="1" applyBorder="1" applyAlignment="1">
      <alignment vertical="top" wrapText="1"/>
    </xf>
    <xf numFmtId="0" fontId="12" fillId="2" borderId="21" xfId="0" applyFont="1" applyFill="1" applyBorder="1" applyAlignment="1">
      <alignment horizontal="left" wrapText="1"/>
    </xf>
    <xf numFmtId="0" fontId="12" fillId="2" borderId="23" xfId="0" applyFont="1" applyFill="1" applyBorder="1" applyAlignment="1">
      <alignment horizontal="left" wrapText="1"/>
    </xf>
    <xf numFmtId="0" fontId="12" fillId="2" borderId="15" xfId="0" applyFont="1" applyFill="1" applyBorder="1" applyAlignment="1">
      <alignment horizontal="left" wrapText="1"/>
    </xf>
    <xf numFmtId="0" fontId="12" fillId="2" borderId="16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164" fontId="12" fillId="2" borderId="6" xfId="0" applyNumberFormat="1" applyFont="1" applyFill="1" applyBorder="1" applyAlignment="1">
      <alignment horizontal="center" vertical="center" wrapText="1"/>
    </xf>
    <xf numFmtId="164" fontId="12" fillId="2" borderId="15" xfId="0" applyNumberFormat="1" applyFont="1" applyFill="1" applyBorder="1" applyAlignment="1">
      <alignment horizontal="center" vertical="center" wrapText="1"/>
    </xf>
    <xf numFmtId="164" fontId="12" fillId="2" borderId="17" xfId="0" applyNumberFormat="1" applyFont="1" applyFill="1" applyBorder="1" applyAlignment="1">
      <alignment horizontal="center" vertical="center" wrapText="1"/>
    </xf>
    <xf numFmtId="164" fontId="12" fillId="2" borderId="16" xfId="0" applyNumberFormat="1" applyFont="1" applyFill="1" applyBorder="1" applyAlignment="1">
      <alignment horizontal="center" vertical="center" wrapText="1"/>
    </xf>
    <xf numFmtId="164" fontId="12" fillId="2" borderId="18" xfId="0" applyNumberFormat="1" applyFont="1" applyFill="1" applyBorder="1" applyAlignment="1">
      <alignment horizontal="center" vertical="center" wrapText="1"/>
    </xf>
    <xf numFmtId="164" fontId="12" fillId="2" borderId="19" xfId="0" applyNumberFormat="1" applyFont="1" applyFill="1" applyBorder="1" applyAlignment="1">
      <alignment horizontal="center" vertical="center" wrapText="1"/>
    </xf>
    <xf numFmtId="164" fontId="12" fillId="2" borderId="20" xfId="0" applyNumberFormat="1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top" wrapText="1"/>
    </xf>
    <xf numFmtId="0" fontId="2" fillId="2" borderId="2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164" fontId="3" fillId="2" borderId="21" xfId="0" applyNumberFormat="1" applyFont="1" applyFill="1" applyBorder="1" applyAlignment="1">
      <alignment vertical="top" wrapText="1"/>
    </xf>
    <xf numFmtId="164" fontId="3" fillId="2" borderId="23" xfId="0" applyNumberFormat="1" applyFont="1" applyFill="1" applyBorder="1" applyAlignment="1">
      <alignment vertical="top" wrapText="1"/>
    </xf>
    <xf numFmtId="164" fontId="2" fillId="2" borderId="5" xfId="0" applyNumberFormat="1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vertical="top" wrapText="1"/>
    </xf>
    <xf numFmtId="164" fontId="2" fillId="2" borderId="23" xfId="0" applyNumberFormat="1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164" fontId="1" fillId="2" borderId="6" xfId="0" applyNumberFormat="1" applyFont="1" applyFill="1" applyBorder="1" applyAlignment="1">
      <alignment horizontal="left" vertical="top" wrapText="1"/>
    </xf>
    <xf numFmtId="164" fontId="12" fillId="2" borderId="5" xfId="0" applyNumberFormat="1" applyFont="1" applyFill="1" applyBorder="1" applyAlignment="1">
      <alignment vertical="top" wrapText="1"/>
    </xf>
    <xf numFmtId="0" fontId="22" fillId="2" borderId="0" xfId="0" applyFont="1" applyFill="1" applyAlignment="1">
      <alignment horizontal="left" wrapText="1"/>
    </xf>
    <xf numFmtId="164" fontId="9" fillId="2" borderId="18" xfId="0" applyNumberFormat="1" applyFont="1" applyFill="1" applyBorder="1" applyAlignment="1">
      <alignment horizontal="center" vertical="center" wrapText="1"/>
    </xf>
    <xf numFmtId="164" fontId="9" fillId="2" borderId="19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164" fontId="3" fillId="2" borderId="22" xfId="0" applyNumberFormat="1" applyFont="1" applyFill="1" applyBorder="1" applyAlignment="1">
      <alignment vertical="top" wrapText="1"/>
    </xf>
    <xf numFmtId="2" fontId="12" fillId="2" borderId="5" xfId="0" applyNumberFormat="1" applyFont="1" applyFill="1" applyBorder="1" applyAlignment="1">
      <alignment vertical="center" wrapText="1"/>
    </xf>
    <xf numFmtId="164" fontId="1" fillId="2" borderId="12" xfId="0" applyNumberFormat="1" applyFont="1" applyFill="1" applyBorder="1" applyAlignment="1">
      <alignment horizontal="left" vertical="top" wrapText="1"/>
    </xf>
    <xf numFmtId="164" fontId="1" fillId="2" borderId="3" xfId="0" applyNumberFormat="1" applyFont="1" applyFill="1" applyBorder="1" applyAlignment="1">
      <alignment horizontal="left" vertical="top" wrapText="1"/>
    </xf>
    <xf numFmtId="164" fontId="1" fillId="2" borderId="13" xfId="0" applyNumberFormat="1" applyFont="1" applyFill="1" applyBorder="1" applyAlignment="1">
      <alignment horizontal="left" vertical="top" wrapText="1"/>
    </xf>
    <xf numFmtId="164" fontId="3" fillId="2" borderId="21" xfId="0" applyNumberFormat="1" applyFont="1" applyFill="1" applyBorder="1" applyAlignment="1">
      <alignment horizontal="left" vertical="center" wrapText="1"/>
    </xf>
    <xf numFmtId="164" fontId="3" fillId="2" borderId="23" xfId="0" applyNumberFormat="1" applyFont="1" applyFill="1" applyBorder="1" applyAlignment="1">
      <alignment horizontal="left" vertical="center" wrapText="1"/>
    </xf>
    <xf numFmtId="164" fontId="3" fillId="2" borderId="21" xfId="0" applyNumberFormat="1" applyFont="1" applyFill="1" applyBorder="1" applyAlignment="1">
      <alignment horizontal="center" vertical="center" wrapText="1"/>
    </xf>
    <xf numFmtId="164" fontId="3" fillId="2" borderId="23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3" fillId="2" borderId="9" xfId="0" applyFont="1" applyFill="1" applyBorder="1" applyAlignment="1">
      <alignment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164" fontId="2" fillId="2" borderId="21" xfId="0" applyNumberFormat="1" applyFont="1" applyFill="1" applyBorder="1" applyAlignment="1">
      <alignment vertical="center" wrapText="1"/>
    </xf>
    <xf numFmtId="164" fontId="2" fillId="2" borderId="22" xfId="0" applyNumberFormat="1" applyFont="1" applyFill="1" applyBorder="1" applyAlignment="1">
      <alignment vertical="center" wrapText="1"/>
    </xf>
    <xf numFmtId="0" fontId="12" fillId="2" borderId="21" xfId="0" applyFont="1" applyFill="1" applyBorder="1" applyAlignment="1">
      <alignment wrapText="1"/>
    </xf>
    <xf numFmtId="0" fontId="12" fillId="2" borderId="23" xfId="0" applyFont="1" applyFill="1" applyBorder="1" applyAlignment="1">
      <alignment wrapText="1"/>
    </xf>
    <xf numFmtId="0" fontId="12" fillId="2" borderId="21" xfId="0" applyFont="1" applyFill="1" applyBorder="1" applyAlignment="1">
      <alignment horizontal="left" vertical="center" wrapText="1"/>
    </xf>
    <xf numFmtId="0" fontId="12" fillId="2" borderId="23" xfId="0" applyFont="1" applyFill="1" applyBorder="1" applyAlignment="1">
      <alignment horizontal="left" vertical="center" wrapText="1"/>
    </xf>
    <xf numFmtId="0" fontId="12" fillId="2" borderId="27" xfId="0" applyFont="1" applyFill="1" applyBorder="1" applyAlignment="1">
      <alignment wrapText="1"/>
    </xf>
    <xf numFmtId="0" fontId="12" fillId="2" borderId="28" xfId="0" applyFont="1" applyFill="1" applyBorder="1" applyAlignment="1">
      <alignment wrapText="1"/>
    </xf>
    <xf numFmtId="164" fontId="3" fillId="2" borderId="21" xfId="0" applyNumberFormat="1" applyFont="1" applyFill="1" applyBorder="1" applyAlignment="1">
      <alignment vertical="center" wrapText="1"/>
    </xf>
    <xf numFmtId="164" fontId="3" fillId="2" borderId="23" xfId="0" applyNumberFormat="1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justify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</cellXfs>
  <cellStyles count="2">
    <cellStyle name="xl49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1"/>
  <sheetViews>
    <sheetView topLeftCell="A46" workbookViewId="0">
      <selection activeCell="I3" sqref="I3:P3"/>
    </sheetView>
  </sheetViews>
  <sheetFormatPr defaultRowHeight="15" x14ac:dyDescent="0.25"/>
  <cols>
    <col min="1" max="1" width="17.5703125" style="12" customWidth="1"/>
    <col min="2" max="2" width="12.42578125" style="10" customWidth="1"/>
    <col min="3" max="3" width="6.42578125" style="11" customWidth="1"/>
    <col min="4" max="4" width="10" style="10" customWidth="1"/>
    <col min="5" max="5" width="9.28515625" style="10" customWidth="1"/>
    <col min="6" max="6" width="8.28515625" style="10" customWidth="1"/>
    <col min="7" max="7" width="9.140625" style="10" customWidth="1"/>
    <col min="8" max="8" width="8.7109375" style="10" customWidth="1"/>
    <col min="9" max="9" width="7.85546875" style="10" customWidth="1"/>
    <col min="10" max="10" width="9.140625" style="10" customWidth="1"/>
    <col min="11" max="11" width="8.28515625" style="10" customWidth="1"/>
    <col min="12" max="13" width="8.140625" style="10" customWidth="1"/>
    <col min="14" max="15" width="10" style="10" customWidth="1"/>
    <col min="16" max="16" width="11" style="10" customWidth="1"/>
    <col min="17" max="17" width="10.7109375" style="13" customWidth="1"/>
    <col min="18" max="16384" width="9.140625" style="14"/>
  </cols>
  <sheetData>
    <row r="1" spans="1:17" ht="21.75" customHeight="1" x14ac:dyDescent="0.25"/>
    <row r="2" spans="1:17" ht="15.75" customHeight="1" x14ac:dyDescent="0.25">
      <c r="I2" s="76" t="s">
        <v>92</v>
      </c>
      <c r="J2" s="14"/>
    </row>
    <row r="3" spans="1:17" ht="39" customHeight="1" x14ac:dyDescent="0.3">
      <c r="H3" s="91"/>
      <c r="I3" s="162" t="s">
        <v>199</v>
      </c>
      <c r="J3" s="162"/>
      <c r="K3" s="162"/>
      <c r="L3" s="162"/>
      <c r="M3" s="162"/>
      <c r="N3" s="162"/>
      <c r="O3" s="162"/>
      <c r="P3" s="162"/>
      <c r="Q3" s="15"/>
    </row>
    <row r="4" spans="1:17" ht="15.75" customHeight="1" x14ac:dyDescent="0.25"/>
    <row r="5" spans="1:17" ht="18.75" x14ac:dyDescent="0.3">
      <c r="A5" s="177" t="s">
        <v>88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6"/>
    </row>
    <row r="6" spans="1:17" ht="5.25" customHeight="1" thickBot="1" x14ac:dyDescent="0.3"/>
    <row r="7" spans="1:17" ht="15.75" customHeight="1" x14ac:dyDescent="0.25">
      <c r="A7" s="178" t="s">
        <v>0</v>
      </c>
      <c r="B7" s="179" t="s">
        <v>1</v>
      </c>
      <c r="C7" s="181" t="s">
        <v>59</v>
      </c>
      <c r="D7" s="183" t="s">
        <v>2</v>
      </c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5"/>
    </row>
    <row r="8" spans="1:17" ht="15" customHeight="1" x14ac:dyDescent="0.25">
      <c r="A8" s="130"/>
      <c r="B8" s="180"/>
      <c r="C8" s="182"/>
      <c r="D8" s="186" t="s">
        <v>3</v>
      </c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8"/>
    </row>
    <row r="9" spans="1:17" ht="74.25" customHeight="1" x14ac:dyDescent="0.25">
      <c r="A9" s="130"/>
      <c r="B9" s="180"/>
      <c r="C9" s="182"/>
      <c r="D9" s="118">
        <v>2024</v>
      </c>
      <c r="E9" s="118">
        <v>2025</v>
      </c>
      <c r="F9" s="118">
        <v>2026</v>
      </c>
      <c r="G9" s="118">
        <v>2027</v>
      </c>
      <c r="H9" s="118">
        <v>2028</v>
      </c>
      <c r="I9" s="118">
        <v>2029</v>
      </c>
      <c r="J9" s="118">
        <v>2030</v>
      </c>
      <c r="K9" s="118">
        <v>2031</v>
      </c>
      <c r="L9" s="118">
        <v>2032</v>
      </c>
      <c r="M9" s="118">
        <v>2033</v>
      </c>
      <c r="N9" s="118" t="s">
        <v>4</v>
      </c>
      <c r="O9" s="17" t="s">
        <v>18</v>
      </c>
      <c r="P9" s="18" t="s">
        <v>19</v>
      </c>
      <c r="Q9" s="19"/>
    </row>
    <row r="10" spans="1:17" ht="20.25" customHeight="1" x14ac:dyDescent="0.25">
      <c r="A10" s="131" t="s">
        <v>40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3"/>
      <c r="Q10" s="20"/>
    </row>
    <row r="11" spans="1:17" ht="22.5" customHeight="1" x14ac:dyDescent="0.25">
      <c r="A11" s="131" t="s">
        <v>11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3"/>
      <c r="Q11" s="20"/>
    </row>
    <row r="12" spans="1:17" ht="37.5" hidden="1" customHeight="1" x14ac:dyDescent="0.25">
      <c r="A12" s="147"/>
      <c r="B12" s="118"/>
      <c r="C12" s="119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2"/>
      <c r="O12" s="64"/>
      <c r="P12" s="65"/>
      <c r="Q12" s="23"/>
    </row>
    <row r="13" spans="1:17" ht="33" hidden="1" customHeight="1" x14ac:dyDescent="0.25">
      <c r="A13" s="147"/>
      <c r="B13" s="118"/>
      <c r="C13" s="119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43"/>
      <c r="P13" s="44"/>
      <c r="Q13" s="23"/>
    </row>
    <row r="14" spans="1:17" ht="37.5" hidden="1" customHeight="1" x14ac:dyDescent="0.25">
      <c r="A14" s="147"/>
      <c r="B14" s="118"/>
      <c r="C14" s="119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43"/>
      <c r="P14" s="44"/>
      <c r="Q14" s="23"/>
    </row>
    <row r="15" spans="1:17" ht="43.5" hidden="1" customHeight="1" x14ac:dyDescent="0.25">
      <c r="A15" s="147"/>
      <c r="B15" s="118"/>
      <c r="C15" s="119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43"/>
      <c r="P15" s="44"/>
      <c r="Q15" s="23"/>
    </row>
    <row r="16" spans="1:17" ht="33.75" hidden="1" customHeight="1" x14ac:dyDescent="0.25">
      <c r="A16" s="147"/>
      <c r="B16" s="118"/>
      <c r="C16" s="119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43"/>
      <c r="P16" s="44"/>
      <c r="Q16" s="23"/>
    </row>
    <row r="17" spans="1:18" ht="29.25" hidden="1" customHeight="1" x14ac:dyDescent="0.25">
      <c r="A17" s="147"/>
      <c r="B17" s="118"/>
      <c r="C17" s="119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43"/>
      <c r="P17" s="44"/>
      <c r="Q17" s="23"/>
    </row>
    <row r="18" spans="1:18" ht="24" hidden="1" customHeight="1" x14ac:dyDescent="0.25">
      <c r="A18" s="147"/>
      <c r="B18" s="118"/>
      <c r="C18" s="119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43"/>
      <c r="P18" s="44"/>
      <c r="Q18" s="23"/>
    </row>
    <row r="19" spans="1:18" ht="27.75" hidden="1" customHeight="1" x14ac:dyDescent="0.25">
      <c r="A19" s="144"/>
      <c r="B19" s="118"/>
      <c r="C19" s="119"/>
      <c r="D19" s="21"/>
      <c r="E19" s="21"/>
      <c r="F19" s="24"/>
      <c r="G19" s="24"/>
      <c r="H19" s="24"/>
      <c r="I19" s="24"/>
      <c r="J19" s="24"/>
      <c r="K19" s="22"/>
      <c r="L19" s="25"/>
      <c r="M19" s="25"/>
      <c r="N19" s="21"/>
      <c r="O19" s="135"/>
      <c r="P19" s="138"/>
      <c r="Q19" s="23"/>
    </row>
    <row r="20" spans="1:18" ht="34.5" hidden="1" customHeight="1" x14ac:dyDescent="0.25">
      <c r="A20" s="144"/>
      <c r="B20" s="118"/>
      <c r="C20" s="119"/>
      <c r="D20" s="22"/>
      <c r="E20" s="22"/>
      <c r="F20" s="26"/>
      <c r="G20" s="26"/>
      <c r="H20" s="26"/>
      <c r="I20" s="26"/>
      <c r="J20" s="26"/>
      <c r="K20" s="22"/>
      <c r="L20" s="22"/>
      <c r="M20" s="22"/>
      <c r="N20" s="22"/>
      <c r="O20" s="137"/>
      <c r="P20" s="139"/>
      <c r="Q20" s="23"/>
    </row>
    <row r="21" spans="1:18" ht="33" hidden="1" customHeight="1" x14ac:dyDescent="0.25">
      <c r="A21" s="124"/>
      <c r="B21" s="118"/>
      <c r="C21" s="119"/>
      <c r="D21" s="21"/>
      <c r="E21" s="21"/>
      <c r="F21" s="26"/>
      <c r="G21" s="26"/>
      <c r="H21" s="26"/>
      <c r="I21" s="26"/>
      <c r="J21" s="26"/>
      <c r="K21" s="22"/>
      <c r="L21" s="22"/>
      <c r="M21" s="22"/>
      <c r="N21" s="21"/>
      <c r="O21" s="27"/>
      <c r="P21" s="44"/>
      <c r="Q21" s="23"/>
    </row>
    <row r="22" spans="1:18" ht="36.75" hidden="1" customHeight="1" x14ac:dyDescent="0.25">
      <c r="A22" s="125"/>
      <c r="B22" s="118"/>
      <c r="C22" s="119"/>
      <c r="D22" s="22"/>
      <c r="E22" s="22"/>
      <c r="F22" s="26"/>
      <c r="G22" s="26"/>
      <c r="H22" s="26"/>
      <c r="I22" s="26"/>
      <c r="J22" s="26"/>
      <c r="K22" s="22"/>
      <c r="L22" s="22"/>
      <c r="M22" s="22"/>
      <c r="N22" s="22"/>
      <c r="O22" s="43"/>
      <c r="P22" s="44"/>
      <c r="Q22" s="23"/>
    </row>
    <row r="23" spans="1:18" ht="21.75" hidden="1" customHeight="1" x14ac:dyDescent="0.25">
      <c r="A23" s="130"/>
      <c r="B23" s="118"/>
      <c r="C23" s="119"/>
      <c r="D23" s="21"/>
      <c r="E23" s="22"/>
      <c r="F23" s="26"/>
      <c r="G23" s="26"/>
      <c r="H23" s="26"/>
      <c r="I23" s="26"/>
      <c r="J23" s="26"/>
      <c r="K23" s="22"/>
      <c r="L23" s="22"/>
      <c r="M23" s="22"/>
      <c r="N23" s="21"/>
      <c r="O23" s="115"/>
      <c r="P23" s="111"/>
      <c r="Q23" s="23"/>
    </row>
    <row r="24" spans="1:18" ht="35.25" hidden="1" customHeight="1" x14ac:dyDescent="0.25">
      <c r="A24" s="130"/>
      <c r="B24" s="118"/>
      <c r="C24" s="119"/>
      <c r="D24" s="22"/>
      <c r="E24" s="22"/>
      <c r="F24" s="26"/>
      <c r="G24" s="26"/>
      <c r="H24" s="26"/>
      <c r="I24" s="26"/>
      <c r="J24" s="26"/>
      <c r="K24" s="22"/>
      <c r="L24" s="22"/>
      <c r="M24" s="22"/>
      <c r="N24" s="22"/>
      <c r="O24" s="115"/>
      <c r="P24" s="111"/>
      <c r="Q24" s="23"/>
    </row>
    <row r="25" spans="1:18" ht="25.5" customHeight="1" x14ac:dyDescent="0.25">
      <c r="A25" s="147" t="s">
        <v>85</v>
      </c>
      <c r="B25" s="118" t="s">
        <v>5</v>
      </c>
      <c r="C25" s="119" t="s">
        <v>6</v>
      </c>
      <c r="D25" s="22">
        <f>D32+D34</f>
        <v>10.9</v>
      </c>
      <c r="E25" s="22">
        <f t="shared" ref="E25:M25" si="0">E32+E34</f>
        <v>11</v>
      </c>
      <c r="F25" s="22">
        <f t="shared" si="0"/>
        <v>11</v>
      </c>
      <c r="G25" s="22">
        <f t="shared" si="0"/>
        <v>1</v>
      </c>
      <c r="H25" s="22">
        <f t="shared" si="0"/>
        <v>1</v>
      </c>
      <c r="I25" s="22">
        <f t="shared" si="0"/>
        <v>0.7</v>
      </c>
      <c r="J25" s="22">
        <f t="shared" si="0"/>
        <v>1.4</v>
      </c>
      <c r="K25" s="21">
        <f t="shared" si="0"/>
        <v>0</v>
      </c>
      <c r="L25" s="21">
        <f t="shared" si="0"/>
        <v>0</v>
      </c>
      <c r="M25" s="21">
        <f t="shared" si="0"/>
        <v>0</v>
      </c>
      <c r="N25" s="22">
        <f>D25+E25+F25+G25+H25+I25+J25+K25+L25+M25</f>
        <v>37</v>
      </c>
      <c r="O25" s="135"/>
      <c r="P25" s="138"/>
      <c r="Q25" s="23"/>
    </row>
    <row r="26" spans="1:18" ht="30.75" customHeight="1" x14ac:dyDescent="0.25">
      <c r="A26" s="147"/>
      <c r="B26" s="118" t="s">
        <v>15</v>
      </c>
      <c r="C26" s="119" t="s">
        <v>10</v>
      </c>
      <c r="D26" s="22">
        <f>D27/D25</f>
        <v>1540.2183486238532</v>
      </c>
      <c r="E26" s="22">
        <f t="shared" ref="E26:J26" si="1">E27/E25</f>
        <v>1498.9181818181817</v>
      </c>
      <c r="F26" s="22">
        <f t="shared" si="1"/>
        <v>1576.397272727273</v>
      </c>
      <c r="G26" s="22">
        <f t="shared" si="1"/>
        <v>10041</v>
      </c>
      <c r="H26" s="22">
        <f t="shared" si="1"/>
        <v>10071</v>
      </c>
      <c r="I26" s="22">
        <f t="shared" si="1"/>
        <v>11065.714285714286</v>
      </c>
      <c r="J26" s="22">
        <f t="shared" si="1"/>
        <v>8832.8571428571431</v>
      </c>
      <c r="K26" s="21">
        <v>0</v>
      </c>
      <c r="L26" s="21">
        <v>0</v>
      </c>
      <c r="M26" s="21">
        <v>0</v>
      </c>
      <c r="N26" s="22">
        <f>N27/N25</f>
        <v>2455.1581081081081</v>
      </c>
      <c r="O26" s="136"/>
      <c r="P26" s="139"/>
      <c r="Q26" s="23"/>
    </row>
    <row r="27" spans="1:18" ht="30.75" customHeight="1" x14ac:dyDescent="0.25">
      <c r="A27" s="147"/>
      <c r="B27" s="118" t="s">
        <v>46</v>
      </c>
      <c r="C27" s="119" t="s">
        <v>10</v>
      </c>
      <c r="D27" s="22">
        <f>D28+D29+D30+D31</f>
        <v>16788.38</v>
      </c>
      <c r="E27" s="22">
        <f t="shared" ref="E27:L27" si="2">E28+E29+E30+E31</f>
        <v>16488.099999999999</v>
      </c>
      <c r="F27" s="22">
        <f t="shared" si="2"/>
        <v>17340.370000000003</v>
      </c>
      <c r="G27" s="22">
        <f t="shared" si="2"/>
        <v>10041</v>
      </c>
      <c r="H27" s="22">
        <f t="shared" si="2"/>
        <v>10071</v>
      </c>
      <c r="I27" s="22">
        <f t="shared" si="2"/>
        <v>7746</v>
      </c>
      <c r="J27" s="22">
        <f t="shared" si="2"/>
        <v>12366</v>
      </c>
      <c r="K27" s="21">
        <f t="shared" si="2"/>
        <v>0</v>
      </c>
      <c r="L27" s="21">
        <f t="shared" si="2"/>
        <v>0</v>
      </c>
      <c r="M27" s="21">
        <f>M28+M29+M30+M31</f>
        <v>0</v>
      </c>
      <c r="N27" s="22">
        <f t="shared" ref="N27:N31" si="3">D27+E27+F27+G27+H27+I27+J27+K27+L27+M27</f>
        <v>90840.85</v>
      </c>
      <c r="O27" s="136"/>
      <c r="P27" s="139"/>
      <c r="Q27" s="23">
        <f>N33+N35</f>
        <v>90840.876569999993</v>
      </c>
      <c r="R27" s="29"/>
    </row>
    <row r="28" spans="1:18" ht="25.5" customHeight="1" x14ac:dyDescent="0.25">
      <c r="A28" s="147"/>
      <c r="B28" s="118" t="s">
        <v>16</v>
      </c>
      <c r="C28" s="119" t="s">
        <v>10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2">
        <f t="shared" si="3"/>
        <v>0</v>
      </c>
      <c r="O28" s="136"/>
      <c r="P28" s="139"/>
      <c r="Q28" s="23"/>
    </row>
    <row r="29" spans="1:18" ht="30.75" customHeight="1" x14ac:dyDescent="0.25">
      <c r="A29" s="147"/>
      <c r="B29" s="118" t="s">
        <v>12</v>
      </c>
      <c r="C29" s="119" t="s">
        <v>10</v>
      </c>
      <c r="D29" s="22">
        <f>6153.88+409.43</f>
        <v>6563.31</v>
      </c>
      <c r="E29" s="22">
        <f>5933.8</f>
        <v>5933.8</v>
      </c>
      <c r="F29" s="22">
        <f>6721.6</f>
        <v>6721.6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2">
        <f t="shared" si="3"/>
        <v>19218.71</v>
      </c>
      <c r="O29" s="136"/>
      <c r="P29" s="139"/>
      <c r="Q29" s="23"/>
    </row>
    <row r="30" spans="1:18" ht="28.5" customHeight="1" x14ac:dyDescent="0.25">
      <c r="A30" s="147"/>
      <c r="B30" s="118" t="s">
        <v>8</v>
      </c>
      <c r="C30" s="119" t="s">
        <v>10</v>
      </c>
      <c r="D30" s="22">
        <f>283.23+18.84</f>
        <v>302.07</v>
      </c>
      <c r="E30" s="22">
        <f>312.3</f>
        <v>312.3</v>
      </c>
      <c r="F30" s="22">
        <f>353.77</f>
        <v>353.77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2">
        <f t="shared" si="3"/>
        <v>968.14</v>
      </c>
      <c r="O30" s="136"/>
      <c r="P30" s="139"/>
      <c r="Q30" s="23"/>
    </row>
    <row r="31" spans="1:18" ht="28.5" customHeight="1" x14ac:dyDescent="0.25">
      <c r="A31" s="147"/>
      <c r="B31" s="118" t="s">
        <v>17</v>
      </c>
      <c r="C31" s="119" t="s">
        <v>10</v>
      </c>
      <c r="D31" s="22">
        <f>D33</f>
        <v>9923</v>
      </c>
      <c r="E31" s="22">
        <f t="shared" ref="E31:M31" si="4">E33</f>
        <v>10242</v>
      </c>
      <c r="F31" s="22">
        <f t="shared" si="4"/>
        <v>10265</v>
      </c>
      <c r="G31" s="22">
        <f t="shared" si="4"/>
        <v>10041</v>
      </c>
      <c r="H31" s="22">
        <f t="shared" si="4"/>
        <v>10071</v>
      </c>
      <c r="I31" s="22">
        <f t="shared" si="4"/>
        <v>7746</v>
      </c>
      <c r="J31" s="22">
        <f t="shared" si="4"/>
        <v>12366</v>
      </c>
      <c r="K31" s="21">
        <f t="shared" si="4"/>
        <v>0</v>
      </c>
      <c r="L31" s="21">
        <f t="shared" si="4"/>
        <v>0</v>
      </c>
      <c r="M31" s="21">
        <f t="shared" si="4"/>
        <v>0</v>
      </c>
      <c r="N31" s="22">
        <f t="shared" si="3"/>
        <v>70654</v>
      </c>
      <c r="O31" s="137"/>
      <c r="P31" s="140"/>
      <c r="Q31" s="23"/>
    </row>
    <row r="32" spans="1:18" ht="81" customHeight="1" x14ac:dyDescent="0.25">
      <c r="A32" s="144" t="s">
        <v>86</v>
      </c>
      <c r="B32" s="118" t="s">
        <v>5</v>
      </c>
      <c r="C32" s="119" t="s">
        <v>6</v>
      </c>
      <c r="D32" s="22">
        <v>0.9</v>
      </c>
      <c r="E32" s="22">
        <v>1</v>
      </c>
      <c r="F32" s="22">
        <v>1</v>
      </c>
      <c r="G32" s="22">
        <v>1</v>
      </c>
      <c r="H32" s="22">
        <v>1</v>
      </c>
      <c r="I32" s="22">
        <v>0.7</v>
      </c>
      <c r="J32" s="32">
        <v>1.4</v>
      </c>
      <c r="K32" s="22"/>
      <c r="L32" s="22"/>
      <c r="M32" s="22"/>
      <c r="N32" s="22">
        <f>D32+E32+F32+G32+H32+I32+J32+K32+L32+M32</f>
        <v>7</v>
      </c>
      <c r="O32" s="135" t="s">
        <v>57</v>
      </c>
      <c r="P32" s="163" t="s">
        <v>81</v>
      </c>
      <c r="Q32" s="23"/>
    </row>
    <row r="33" spans="1:27" ht="57.75" customHeight="1" x14ac:dyDescent="0.25">
      <c r="A33" s="144"/>
      <c r="B33" s="118" t="s">
        <v>9</v>
      </c>
      <c r="C33" s="119" t="s">
        <v>10</v>
      </c>
      <c r="D33" s="22">
        <v>9923</v>
      </c>
      <c r="E33" s="22">
        <v>10242</v>
      </c>
      <c r="F33" s="22">
        <v>10265</v>
      </c>
      <c r="G33" s="22">
        <v>10041</v>
      </c>
      <c r="H33" s="22">
        <v>10071</v>
      </c>
      <c r="I33" s="22">
        <v>7746</v>
      </c>
      <c r="J33" s="60">
        <v>12366</v>
      </c>
      <c r="K33" s="93"/>
      <c r="L33" s="22"/>
      <c r="M33" s="22"/>
      <c r="N33" s="22">
        <f>D33+E33+F33+G33+H33+I33+J33+K33+L33+M33</f>
        <v>70654</v>
      </c>
      <c r="O33" s="136"/>
      <c r="P33" s="164"/>
      <c r="Q33" s="23"/>
    </row>
    <row r="34" spans="1:27" ht="36" customHeight="1" x14ac:dyDescent="0.25">
      <c r="A34" s="124" t="s">
        <v>87</v>
      </c>
      <c r="B34" s="118" t="s">
        <v>5</v>
      </c>
      <c r="C34" s="119" t="s">
        <v>22</v>
      </c>
      <c r="D34" s="22">
        <v>10</v>
      </c>
      <c r="E34" s="22">
        <v>10</v>
      </c>
      <c r="F34" s="22">
        <v>10</v>
      </c>
      <c r="G34" s="26"/>
      <c r="H34" s="26"/>
      <c r="I34" s="26"/>
      <c r="J34" s="26"/>
      <c r="K34" s="22"/>
      <c r="L34" s="22"/>
      <c r="M34" s="22"/>
      <c r="N34" s="22">
        <f>D34+E34+F34+G34+H34+I34+J34+K34+L34+M34</f>
        <v>30</v>
      </c>
      <c r="O34" s="43"/>
      <c r="P34" s="78"/>
      <c r="Q34" s="23"/>
    </row>
    <row r="35" spans="1:27" ht="44.25" customHeight="1" x14ac:dyDescent="0.25">
      <c r="A35" s="125"/>
      <c r="B35" s="118" t="s">
        <v>9</v>
      </c>
      <c r="C35" s="119" t="s">
        <v>10</v>
      </c>
      <c r="D35" s="22">
        <f>6563.3+302.07657</f>
        <v>6865.3765700000004</v>
      </c>
      <c r="E35" s="22">
        <v>6246.1</v>
      </c>
      <c r="F35" s="22">
        <f>6721.6+353.8</f>
        <v>7075.4000000000005</v>
      </c>
      <c r="G35" s="26"/>
      <c r="H35" s="26"/>
      <c r="I35" s="26"/>
      <c r="J35" s="26"/>
      <c r="K35" s="22"/>
      <c r="L35" s="22"/>
      <c r="M35" s="22"/>
      <c r="N35" s="22">
        <f>D35+E35+F35+G35+H35+I35+J35+K35+L35+M35</f>
        <v>20186.87657</v>
      </c>
      <c r="O35" s="46"/>
      <c r="P35" s="79"/>
      <c r="Q35" s="23"/>
    </row>
    <row r="36" spans="1:27" ht="29.25" customHeight="1" x14ac:dyDescent="0.25">
      <c r="A36" s="155" t="s">
        <v>45</v>
      </c>
      <c r="B36" s="33" t="s">
        <v>27</v>
      </c>
      <c r="C36" s="34" t="s">
        <v>10</v>
      </c>
      <c r="D36" s="25">
        <f>D37+D38+D39+D40</f>
        <v>16788.38</v>
      </c>
      <c r="E36" s="25">
        <f t="shared" ref="E36:L36" si="5">E37+E38+E39+E40</f>
        <v>16488.099999999999</v>
      </c>
      <c r="F36" s="25">
        <f t="shared" si="5"/>
        <v>17340.370000000003</v>
      </c>
      <c r="G36" s="25">
        <f t="shared" si="5"/>
        <v>10041</v>
      </c>
      <c r="H36" s="25">
        <v>0</v>
      </c>
      <c r="I36" s="25">
        <v>0</v>
      </c>
      <c r="J36" s="25">
        <f t="shared" si="5"/>
        <v>12366</v>
      </c>
      <c r="K36" s="25">
        <f t="shared" si="5"/>
        <v>0</v>
      </c>
      <c r="L36" s="25">
        <f t="shared" si="5"/>
        <v>0</v>
      </c>
      <c r="M36" s="25">
        <f>M37+M38+M39+M40</f>
        <v>0</v>
      </c>
      <c r="N36" s="22">
        <f>D36+E36+F36+G36+H36+I36+J36+K36+L36+M36</f>
        <v>73023.850000000006</v>
      </c>
      <c r="O36" s="135"/>
      <c r="P36" s="141"/>
      <c r="Q36" s="23"/>
    </row>
    <row r="37" spans="1:27" ht="36" customHeight="1" x14ac:dyDescent="0.25">
      <c r="A37" s="156"/>
      <c r="B37" s="33" t="s">
        <v>16</v>
      </c>
      <c r="C37" s="34" t="s">
        <v>10</v>
      </c>
      <c r="D37" s="96">
        <v>0</v>
      </c>
      <c r="E37" s="96">
        <v>0</v>
      </c>
      <c r="F37" s="96">
        <v>0</v>
      </c>
      <c r="G37" s="96">
        <v>0</v>
      </c>
      <c r="H37" s="96">
        <v>0</v>
      </c>
      <c r="I37" s="96">
        <v>0</v>
      </c>
      <c r="J37" s="96">
        <v>0</v>
      </c>
      <c r="K37" s="21">
        <v>0</v>
      </c>
      <c r="L37" s="96">
        <v>0</v>
      </c>
      <c r="M37" s="96">
        <v>0</v>
      </c>
      <c r="N37" s="21">
        <v>0</v>
      </c>
      <c r="O37" s="136"/>
      <c r="P37" s="142"/>
      <c r="Q37" s="23"/>
    </row>
    <row r="38" spans="1:27" ht="27.75" customHeight="1" x14ac:dyDescent="0.25">
      <c r="A38" s="156"/>
      <c r="B38" s="33" t="s">
        <v>12</v>
      </c>
      <c r="C38" s="34" t="s">
        <v>10</v>
      </c>
      <c r="D38" s="25">
        <f t="shared" ref="D38:G40" si="6">D16+D29</f>
        <v>6563.31</v>
      </c>
      <c r="E38" s="25">
        <f t="shared" si="6"/>
        <v>5933.8</v>
      </c>
      <c r="F38" s="25">
        <f t="shared" si="6"/>
        <v>6721.6</v>
      </c>
      <c r="G38" s="96">
        <f t="shared" si="6"/>
        <v>0</v>
      </c>
      <c r="H38" s="96">
        <f>H16</f>
        <v>0</v>
      </c>
      <c r="I38" s="96">
        <f>I16+I29</f>
        <v>0</v>
      </c>
      <c r="J38" s="96">
        <f>J16+J29</f>
        <v>0</v>
      </c>
      <c r="K38" s="96">
        <v>0</v>
      </c>
      <c r="L38" s="96">
        <f>L16+L29</f>
        <v>0</v>
      </c>
      <c r="M38" s="96">
        <f>M16+M29</f>
        <v>0</v>
      </c>
      <c r="N38" s="22">
        <f>D38+E38+F38+G38+H38+I38+J38+K38+L38+M38</f>
        <v>19218.71</v>
      </c>
      <c r="O38" s="136"/>
      <c r="P38" s="142"/>
      <c r="Q38" s="23"/>
    </row>
    <row r="39" spans="1:27" ht="34.5" customHeight="1" x14ac:dyDescent="0.25">
      <c r="A39" s="156"/>
      <c r="B39" s="33" t="s">
        <v>8</v>
      </c>
      <c r="C39" s="34" t="s">
        <v>10</v>
      </c>
      <c r="D39" s="25">
        <f t="shared" si="6"/>
        <v>302.07</v>
      </c>
      <c r="E39" s="25">
        <f t="shared" si="6"/>
        <v>312.3</v>
      </c>
      <c r="F39" s="25">
        <f t="shared" si="6"/>
        <v>353.77</v>
      </c>
      <c r="G39" s="96">
        <f t="shared" si="6"/>
        <v>0</v>
      </c>
      <c r="H39" s="96">
        <f t="shared" ref="H39:M39" si="7">H17+H29</f>
        <v>0</v>
      </c>
      <c r="I39" s="96">
        <f t="shared" si="7"/>
        <v>0</v>
      </c>
      <c r="J39" s="96">
        <f t="shared" si="7"/>
        <v>0</v>
      </c>
      <c r="K39" s="96">
        <f t="shared" si="7"/>
        <v>0</v>
      </c>
      <c r="L39" s="96">
        <f t="shared" si="7"/>
        <v>0</v>
      </c>
      <c r="M39" s="96">
        <f t="shared" si="7"/>
        <v>0</v>
      </c>
      <c r="N39" s="22">
        <f>D39+E39+F39+G39+H39+J39+K39+L39+M39</f>
        <v>968.14</v>
      </c>
      <c r="O39" s="136"/>
      <c r="P39" s="142"/>
      <c r="Q39" s="23"/>
    </row>
    <row r="40" spans="1:27" ht="28.5" customHeight="1" x14ac:dyDescent="0.25">
      <c r="A40" s="146"/>
      <c r="B40" s="33" t="s">
        <v>17</v>
      </c>
      <c r="C40" s="34" t="s">
        <v>10</v>
      </c>
      <c r="D40" s="25">
        <f t="shared" si="6"/>
        <v>9923</v>
      </c>
      <c r="E40" s="25">
        <f t="shared" si="6"/>
        <v>10242</v>
      </c>
      <c r="F40" s="25">
        <f t="shared" si="6"/>
        <v>10265</v>
      </c>
      <c r="G40" s="25">
        <f t="shared" si="6"/>
        <v>10041</v>
      </c>
      <c r="H40" s="25">
        <f t="shared" ref="H40:M40" si="8">H18+H31</f>
        <v>10071</v>
      </c>
      <c r="I40" s="25">
        <f t="shared" si="8"/>
        <v>7746</v>
      </c>
      <c r="J40" s="25">
        <f t="shared" si="8"/>
        <v>12366</v>
      </c>
      <c r="K40" s="25">
        <f t="shared" si="8"/>
        <v>0</v>
      </c>
      <c r="L40" s="25">
        <f t="shared" si="8"/>
        <v>0</v>
      </c>
      <c r="M40" s="25">
        <f t="shared" si="8"/>
        <v>0</v>
      </c>
      <c r="N40" s="25">
        <f>D40+E40+F40+G40+H40+I40+J40+K40+L40</f>
        <v>70654</v>
      </c>
      <c r="O40" s="137"/>
      <c r="P40" s="143"/>
      <c r="Q40" s="23"/>
    </row>
    <row r="41" spans="1:27" ht="18.75" customHeight="1" x14ac:dyDescent="0.25">
      <c r="A41" s="131" t="s">
        <v>20</v>
      </c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3"/>
      <c r="Q41" s="23"/>
    </row>
    <row r="42" spans="1:27" ht="15" customHeight="1" x14ac:dyDescent="0.25">
      <c r="A42" s="165" t="s">
        <v>41</v>
      </c>
      <c r="B42" s="166"/>
      <c r="C42" s="166"/>
      <c r="D42" s="166"/>
      <c r="E42" s="166"/>
      <c r="F42" s="166"/>
      <c r="G42" s="166"/>
      <c r="H42" s="166"/>
      <c r="I42" s="166"/>
      <c r="J42" s="166"/>
      <c r="K42" s="166"/>
      <c r="L42" s="166"/>
      <c r="M42" s="166"/>
      <c r="N42" s="166"/>
      <c r="O42" s="166"/>
      <c r="P42" s="167"/>
      <c r="Q42" s="23"/>
    </row>
    <row r="43" spans="1:27" ht="30.75" customHeight="1" x14ac:dyDescent="0.25">
      <c r="A43" s="146" t="s">
        <v>51</v>
      </c>
      <c r="B43" s="73" t="s">
        <v>5</v>
      </c>
      <c r="C43" s="74" t="s">
        <v>24</v>
      </c>
      <c r="D43" s="75">
        <f>D82</f>
        <v>1</v>
      </c>
      <c r="E43" s="75">
        <f>E94</f>
        <v>1</v>
      </c>
      <c r="F43" s="75">
        <f t="shared" ref="F43:M43" si="9">F50+F52+F54+F56+F58+F60+F62+F64+F66+F68+F70+F72+F74+F76+F78+F80</f>
        <v>1</v>
      </c>
      <c r="G43" s="75">
        <f t="shared" si="9"/>
        <v>2</v>
      </c>
      <c r="H43" s="75">
        <f t="shared" si="9"/>
        <v>4</v>
      </c>
      <c r="I43" s="84">
        <f t="shared" si="9"/>
        <v>0</v>
      </c>
      <c r="J43" s="84">
        <f t="shared" si="9"/>
        <v>0</v>
      </c>
      <c r="K43" s="75">
        <f t="shared" si="9"/>
        <v>1</v>
      </c>
      <c r="L43" s="84">
        <f t="shared" si="9"/>
        <v>0</v>
      </c>
      <c r="M43" s="84">
        <f t="shared" si="9"/>
        <v>0</v>
      </c>
      <c r="N43" s="75">
        <f>D43+E43+F43+G43+H43+I43+J43+K43+L43+M43</f>
        <v>10</v>
      </c>
      <c r="O43" s="135"/>
      <c r="P43" s="134"/>
      <c r="Q43" s="23"/>
    </row>
    <row r="44" spans="1:27" ht="27.75" customHeight="1" x14ac:dyDescent="0.25">
      <c r="A44" s="147"/>
      <c r="B44" s="118" t="s">
        <v>15</v>
      </c>
      <c r="C44" s="119" t="s">
        <v>10</v>
      </c>
      <c r="D44" s="22">
        <f>D45/D43</f>
        <v>998.5</v>
      </c>
      <c r="E44" s="22">
        <f>E45/E43</f>
        <v>591.1</v>
      </c>
      <c r="F44" s="22">
        <f t="shared" ref="F44:K44" si="10">F45/F43</f>
        <v>1728.9</v>
      </c>
      <c r="G44" s="22">
        <f t="shared" si="10"/>
        <v>10829.95</v>
      </c>
      <c r="H44" s="22">
        <f t="shared" si="10"/>
        <v>8282.2999999999993</v>
      </c>
      <c r="I44" s="21">
        <v>0</v>
      </c>
      <c r="J44" s="21">
        <v>0</v>
      </c>
      <c r="K44" s="22">
        <f t="shared" si="10"/>
        <v>10000</v>
      </c>
      <c r="L44" s="21">
        <v>0</v>
      </c>
      <c r="M44" s="21">
        <v>0</v>
      </c>
      <c r="N44" s="22">
        <f>N45/N43</f>
        <v>6810.76</v>
      </c>
      <c r="O44" s="136"/>
      <c r="P44" s="134"/>
      <c r="Q44" s="23"/>
    </row>
    <row r="45" spans="1:27" ht="36.75" customHeight="1" x14ac:dyDescent="0.25">
      <c r="A45" s="147"/>
      <c r="B45" s="118" t="s">
        <v>7</v>
      </c>
      <c r="C45" s="119" t="s">
        <v>10</v>
      </c>
      <c r="D45" s="22">
        <f>D46+D47+D48+D49</f>
        <v>998.5</v>
      </c>
      <c r="E45" s="22">
        <f t="shared" ref="E45:M45" si="11">E46+E47+E48+E49</f>
        <v>591.1</v>
      </c>
      <c r="F45" s="22">
        <f t="shared" si="11"/>
        <v>1728.9</v>
      </c>
      <c r="G45" s="22">
        <f t="shared" si="11"/>
        <v>21659.9</v>
      </c>
      <c r="H45" s="22">
        <f t="shared" si="11"/>
        <v>33129.199999999997</v>
      </c>
      <c r="I45" s="21">
        <f t="shared" si="11"/>
        <v>0</v>
      </c>
      <c r="J45" s="21">
        <f t="shared" si="11"/>
        <v>0</v>
      </c>
      <c r="K45" s="22">
        <f t="shared" si="11"/>
        <v>10000</v>
      </c>
      <c r="L45" s="21">
        <f t="shared" si="11"/>
        <v>0</v>
      </c>
      <c r="M45" s="21">
        <f t="shared" si="11"/>
        <v>0</v>
      </c>
      <c r="N45" s="22">
        <f t="shared" ref="N45:N67" si="12">D45+E45+F45+G45+H45+I45+J45+K45+L45+M45</f>
        <v>68107.600000000006</v>
      </c>
      <c r="O45" s="136"/>
      <c r="P45" s="134"/>
      <c r="Q45" s="23">
        <f>N51+N53+N55+N61+N63+N65+N69+N71+N73+N75+N79+N77+N81+N83+N87+N89+N91+N93+N95+N99+N101</f>
        <v>68107.600000000006</v>
      </c>
      <c r="R45" s="29"/>
    </row>
    <row r="46" spans="1:27" ht="29.25" customHeight="1" x14ac:dyDescent="0.25">
      <c r="A46" s="147"/>
      <c r="B46" s="118" t="s">
        <v>16</v>
      </c>
      <c r="C46" s="119" t="s">
        <v>10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36">
        <v>0</v>
      </c>
      <c r="L46" s="36">
        <v>0</v>
      </c>
      <c r="M46" s="36">
        <v>0</v>
      </c>
      <c r="N46" s="21">
        <f t="shared" si="12"/>
        <v>0</v>
      </c>
      <c r="O46" s="136"/>
      <c r="P46" s="134"/>
      <c r="Q46" s="23"/>
    </row>
    <row r="47" spans="1:27" ht="36" customHeight="1" x14ac:dyDescent="0.25">
      <c r="A47" s="147"/>
      <c r="B47" s="118" t="s">
        <v>12</v>
      </c>
      <c r="C47" s="119" t="s">
        <v>10</v>
      </c>
      <c r="D47" s="22">
        <v>669.2</v>
      </c>
      <c r="E47" s="22">
        <f>541.1</f>
        <v>541.1</v>
      </c>
      <c r="F47" s="22">
        <v>0</v>
      </c>
      <c r="G47" s="22">
        <f>G81*95%</f>
        <v>15125.424999999999</v>
      </c>
      <c r="H47" s="22">
        <f>H87*95%</f>
        <v>9344.1049999999996</v>
      </c>
      <c r="I47" s="21">
        <f t="shared" ref="I47:M47" si="13">(I51+I53+I55+I61+I63+I65+I69+I71+I73+I75+I79+I77)*95.6%</f>
        <v>0</v>
      </c>
      <c r="J47" s="21">
        <f t="shared" si="13"/>
        <v>0</v>
      </c>
      <c r="K47" s="22">
        <f>(K51+K53+K55+K61+K63+K65+K69+K71+K73+K75+K79+K77)*95%</f>
        <v>9500</v>
      </c>
      <c r="L47" s="21">
        <f t="shared" si="13"/>
        <v>0</v>
      </c>
      <c r="M47" s="21">
        <f t="shared" si="13"/>
        <v>0</v>
      </c>
      <c r="N47" s="22">
        <f t="shared" si="12"/>
        <v>35179.83</v>
      </c>
      <c r="O47" s="136"/>
      <c r="P47" s="134"/>
      <c r="Q47" s="23"/>
    </row>
    <row r="48" spans="1:27" ht="33" customHeight="1" x14ac:dyDescent="0.25">
      <c r="A48" s="147"/>
      <c r="B48" s="118" t="s">
        <v>8</v>
      </c>
      <c r="C48" s="119" t="s">
        <v>10</v>
      </c>
      <c r="D48" s="22">
        <f>D83+30.8</f>
        <v>329.3</v>
      </c>
      <c r="E48" s="22">
        <v>50</v>
      </c>
      <c r="F48" s="22">
        <f>F51+F53+F55+F61+F63+F65+F69+F71+F73+F75+F77+F79+F81+F83</f>
        <v>1728.9</v>
      </c>
      <c r="G48" s="22">
        <f>G81*5%+G79+G89+G91</f>
        <v>6534.4750000000004</v>
      </c>
      <c r="H48" s="22">
        <f>H61+H63+H65+H77+H87*5%+H99+H101</f>
        <v>23785.094999999998</v>
      </c>
      <c r="I48" s="21">
        <f t="shared" ref="I48:M48" si="14">(I51+I53+I55+I61+I63+I65+I69+I71+I73+I75+I79+I77)*4.4%</f>
        <v>0</v>
      </c>
      <c r="J48" s="21">
        <f t="shared" si="14"/>
        <v>0</v>
      </c>
      <c r="K48" s="22">
        <f>K53*5%</f>
        <v>500</v>
      </c>
      <c r="L48" s="21">
        <f t="shared" si="14"/>
        <v>0</v>
      </c>
      <c r="M48" s="21">
        <f t="shared" si="14"/>
        <v>0</v>
      </c>
      <c r="N48" s="22">
        <f t="shared" si="12"/>
        <v>32927.769999999997</v>
      </c>
      <c r="O48" s="136"/>
      <c r="P48" s="134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</row>
    <row r="49" spans="1:27" ht="31.5" customHeight="1" x14ac:dyDescent="0.25">
      <c r="A49" s="147"/>
      <c r="B49" s="118" t="s">
        <v>17</v>
      </c>
      <c r="C49" s="119" t="s">
        <v>10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f>I51</f>
        <v>0</v>
      </c>
      <c r="J49" s="21">
        <v>0</v>
      </c>
      <c r="K49" s="36">
        <v>0</v>
      </c>
      <c r="L49" s="36">
        <v>0</v>
      </c>
      <c r="M49" s="36">
        <v>0</v>
      </c>
      <c r="N49" s="22">
        <f t="shared" si="12"/>
        <v>0</v>
      </c>
      <c r="O49" s="137"/>
      <c r="P49" s="134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</row>
    <row r="50" spans="1:27" ht="25.5" hidden="1" customHeight="1" x14ac:dyDescent="0.25">
      <c r="A50" s="130"/>
      <c r="B50" s="118"/>
      <c r="C50" s="37"/>
      <c r="D50" s="17"/>
      <c r="E50" s="17"/>
      <c r="F50" s="17"/>
      <c r="G50" s="17"/>
      <c r="H50" s="36"/>
      <c r="I50" s="36"/>
      <c r="J50" s="36"/>
      <c r="K50" s="36"/>
      <c r="L50" s="36"/>
      <c r="M50" s="36"/>
      <c r="N50" s="21"/>
      <c r="O50" s="135" t="s">
        <v>55</v>
      </c>
      <c r="P50" s="138" t="s">
        <v>53</v>
      </c>
      <c r="Q50" s="23"/>
    </row>
    <row r="51" spans="1:27" ht="158.25" hidden="1" customHeight="1" x14ac:dyDescent="0.25">
      <c r="A51" s="145"/>
      <c r="B51" s="118"/>
      <c r="C51" s="119"/>
      <c r="D51" s="117"/>
      <c r="E51" s="117"/>
      <c r="F51" s="117"/>
      <c r="G51" s="117"/>
      <c r="H51" s="117"/>
      <c r="I51" s="117"/>
      <c r="J51" s="25"/>
      <c r="K51" s="117"/>
      <c r="L51" s="117"/>
      <c r="M51" s="117"/>
      <c r="N51" s="22"/>
      <c r="O51" s="136"/>
      <c r="P51" s="139"/>
      <c r="Q51" s="23"/>
    </row>
    <row r="52" spans="1:27" ht="38.25" customHeight="1" x14ac:dyDescent="0.25">
      <c r="A52" s="130" t="s">
        <v>125</v>
      </c>
      <c r="B52" s="118" t="s">
        <v>5</v>
      </c>
      <c r="C52" s="37" t="s">
        <v>22</v>
      </c>
      <c r="D52" s="118"/>
      <c r="E52" s="118"/>
      <c r="F52" s="118"/>
      <c r="G52" s="22"/>
      <c r="H52" s="118"/>
      <c r="I52" s="17"/>
      <c r="J52" s="118"/>
      <c r="K52" s="118">
        <v>1</v>
      </c>
      <c r="L52" s="17"/>
      <c r="M52" s="17"/>
      <c r="N52" s="21">
        <f t="shared" si="12"/>
        <v>1</v>
      </c>
      <c r="O52" s="136"/>
      <c r="P52" s="139"/>
      <c r="Q52" s="23"/>
    </row>
    <row r="53" spans="1:27" ht="77.25" customHeight="1" x14ac:dyDescent="0.25">
      <c r="A53" s="130"/>
      <c r="B53" s="118" t="s">
        <v>9</v>
      </c>
      <c r="C53" s="119" t="s">
        <v>10</v>
      </c>
      <c r="D53" s="118"/>
      <c r="E53" s="22"/>
      <c r="F53" s="22"/>
      <c r="G53" s="22"/>
      <c r="H53" s="22"/>
      <c r="I53" s="117"/>
      <c r="J53" s="22"/>
      <c r="K53" s="22">
        <v>10000</v>
      </c>
      <c r="L53" s="117"/>
      <c r="M53" s="117"/>
      <c r="N53" s="22">
        <f t="shared" si="12"/>
        <v>10000</v>
      </c>
      <c r="O53" s="136"/>
      <c r="P53" s="139"/>
      <c r="Q53" s="23"/>
    </row>
    <row r="54" spans="1:27" ht="43.5" customHeight="1" x14ac:dyDescent="0.25">
      <c r="A54" s="130" t="s">
        <v>126</v>
      </c>
      <c r="B54" s="118" t="s">
        <v>5</v>
      </c>
      <c r="C54" s="37" t="s">
        <v>22</v>
      </c>
      <c r="D54" s="118"/>
      <c r="E54" s="118"/>
      <c r="F54" s="118">
        <v>1</v>
      </c>
      <c r="G54" s="22"/>
      <c r="H54" s="17"/>
      <c r="I54" s="117"/>
      <c r="J54" s="21"/>
      <c r="K54" s="36"/>
      <c r="L54" s="36"/>
      <c r="M54" s="36"/>
      <c r="N54" s="21">
        <f t="shared" si="12"/>
        <v>1</v>
      </c>
      <c r="O54" s="135" t="s">
        <v>55</v>
      </c>
      <c r="P54" s="138" t="s">
        <v>53</v>
      </c>
      <c r="Q54" s="23"/>
    </row>
    <row r="55" spans="1:27" ht="39.75" customHeight="1" x14ac:dyDescent="0.25">
      <c r="A55" s="130"/>
      <c r="B55" s="118" t="s">
        <v>9</v>
      </c>
      <c r="C55" s="119" t="s">
        <v>10</v>
      </c>
      <c r="D55" s="22"/>
      <c r="E55" s="22"/>
      <c r="F55" s="22">
        <v>1728.9</v>
      </c>
      <c r="G55" s="22"/>
      <c r="H55" s="17"/>
      <c r="I55" s="117"/>
      <c r="J55" s="22"/>
      <c r="K55" s="117"/>
      <c r="L55" s="117"/>
      <c r="M55" s="117"/>
      <c r="N55" s="22">
        <f t="shared" si="12"/>
        <v>1728.9</v>
      </c>
      <c r="O55" s="136"/>
      <c r="P55" s="139"/>
      <c r="Q55" s="23"/>
    </row>
    <row r="56" spans="1:27" ht="0.75" hidden="1" customHeight="1" x14ac:dyDescent="0.25">
      <c r="A56" s="130"/>
      <c r="B56" s="118"/>
      <c r="C56" s="119"/>
      <c r="D56" s="22"/>
      <c r="E56" s="22"/>
      <c r="F56" s="24"/>
      <c r="G56" s="22"/>
      <c r="H56" s="24"/>
      <c r="I56" s="24"/>
      <c r="J56" s="24"/>
      <c r="K56" s="36"/>
      <c r="L56" s="36"/>
      <c r="M56" s="36"/>
      <c r="N56" s="21">
        <f t="shared" si="12"/>
        <v>0</v>
      </c>
      <c r="O56" s="136"/>
      <c r="P56" s="139"/>
      <c r="Q56" s="23"/>
    </row>
    <row r="57" spans="1:27" ht="43.5" hidden="1" customHeight="1" x14ac:dyDescent="0.25">
      <c r="A57" s="145"/>
      <c r="B57" s="118"/>
      <c r="C57" s="119"/>
      <c r="D57" s="22"/>
      <c r="E57" s="22"/>
      <c r="F57" s="24"/>
      <c r="G57" s="22"/>
      <c r="H57" s="24"/>
      <c r="I57" s="24"/>
      <c r="J57" s="24"/>
      <c r="K57" s="117"/>
      <c r="L57" s="117"/>
      <c r="M57" s="117"/>
      <c r="N57" s="22">
        <f t="shared" si="12"/>
        <v>0</v>
      </c>
      <c r="O57" s="136"/>
      <c r="P57" s="139"/>
      <c r="Q57" s="23"/>
    </row>
    <row r="58" spans="1:27" ht="30" hidden="1" customHeight="1" x14ac:dyDescent="0.25">
      <c r="A58" s="130"/>
      <c r="B58" s="118"/>
      <c r="C58" s="119"/>
      <c r="D58" s="118"/>
      <c r="E58" s="118"/>
      <c r="F58" s="17"/>
      <c r="G58" s="17"/>
      <c r="H58" s="17"/>
      <c r="I58" s="17"/>
      <c r="J58" s="17"/>
      <c r="K58" s="17"/>
      <c r="L58" s="17"/>
      <c r="M58" s="17"/>
      <c r="N58" s="21">
        <f t="shared" si="12"/>
        <v>0</v>
      </c>
      <c r="O58" s="136"/>
      <c r="P58" s="139"/>
      <c r="Q58" s="23"/>
    </row>
    <row r="59" spans="1:27" ht="76.5" hidden="1" customHeight="1" x14ac:dyDescent="0.25">
      <c r="A59" s="145"/>
      <c r="B59" s="118"/>
      <c r="C59" s="119"/>
      <c r="D59" s="118"/>
      <c r="E59" s="118"/>
      <c r="F59" s="17"/>
      <c r="G59" s="22"/>
      <c r="H59" s="22"/>
      <c r="I59" s="17"/>
      <c r="J59" s="17"/>
      <c r="K59" s="117"/>
      <c r="L59" s="117"/>
      <c r="M59" s="117"/>
      <c r="N59" s="22">
        <f t="shared" si="12"/>
        <v>0</v>
      </c>
      <c r="O59" s="136"/>
      <c r="P59" s="139"/>
      <c r="Q59" s="23"/>
    </row>
    <row r="60" spans="1:27" ht="42.75" customHeight="1" x14ac:dyDescent="0.25">
      <c r="A60" s="124" t="s">
        <v>127</v>
      </c>
      <c r="B60" s="118" t="s">
        <v>5</v>
      </c>
      <c r="C60" s="37" t="s">
        <v>22</v>
      </c>
      <c r="D60" s="118"/>
      <c r="E60" s="118"/>
      <c r="F60" s="17"/>
      <c r="G60" s="22"/>
      <c r="H60" s="17">
        <v>1</v>
      </c>
      <c r="I60" s="17"/>
      <c r="J60" s="22"/>
      <c r="K60" s="117"/>
      <c r="L60" s="117"/>
      <c r="M60" s="117"/>
      <c r="N60" s="21">
        <f t="shared" si="12"/>
        <v>1</v>
      </c>
      <c r="O60" s="136"/>
      <c r="P60" s="139"/>
      <c r="Q60" s="23"/>
    </row>
    <row r="61" spans="1:27" ht="36" customHeight="1" x14ac:dyDescent="0.25">
      <c r="A61" s="125"/>
      <c r="B61" s="118" t="s">
        <v>9</v>
      </c>
      <c r="C61" s="119" t="s">
        <v>10</v>
      </c>
      <c r="D61" s="22"/>
      <c r="E61" s="118"/>
      <c r="F61" s="117"/>
      <c r="G61" s="22"/>
      <c r="H61" s="117">
        <f>2000</f>
        <v>2000</v>
      </c>
      <c r="I61" s="117"/>
      <c r="J61" s="22"/>
      <c r="K61" s="117"/>
      <c r="L61" s="117"/>
      <c r="M61" s="117"/>
      <c r="N61" s="22">
        <f t="shared" si="12"/>
        <v>2000</v>
      </c>
      <c r="O61" s="136"/>
      <c r="P61" s="139"/>
      <c r="Q61" s="23"/>
    </row>
    <row r="62" spans="1:27" ht="26.25" customHeight="1" x14ac:dyDescent="0.25">
      <c r="A62" s="124" t="s">
        <v>131</v>
      </c>
      <c r="B62" s="118" t="s">
        <v>5</v>
      </c>
      <c r="C62" s="37" t="s">
        <v>22</v>
      </c>
      <c r="D62" s="118"/>
      <c r="E62" s="118"/>
      <c r="F62" s="17"/>
      <c r="G62" s="22"/>
      <c r="H62" s="17">
        <v>1</v>
      </c>
      <c r="I62" s="17"/>
      <c r="J62" s="22"/>
      <c r="K62" s="117"/>
      <c r="L62" s="117"/>
      <c r="M62" s="117"/>
      <c r="N62" s="21">
        <f t="shared" si="12"/>
        <v>1</v>
      </c>
      <c r="O62" s="136"/>
      <c r="P62" s="139"/>
      <c r="Q62" s="23"/>
    </row>
    <row r="63" spans="1:27" ht="30.75" customHeight="1" x14ac:dyDescent="0.25">
      <c r="A63" s="125"/>
      <c r="B63" s="118" t="s">
        <v>9</v>
      </c>
      <c r="C63" s="119" t="s">
        <v>10</v>
      </c>
      <c r="D63" s="118"/>
      <c r="E63" s="22"/>
      <c r="F63" s="117"/>
      <c r="G63" s="22"/>
      <c r="H63" s="117">
        <v>8000</v>
      </c>
      <c r="I63" s="117"/>
      <c r="J63" s="22"/>
      <c r="K63" s="117"/>
      <c r="L63" s="117"/>
      <c r="M63" s="117"/>
      <c r="N63" s="22">
        <f t="shared" si="12"/>
        <v>8000</v>
      </c>
      <c r="O63" s="136"/>
      <c r="P63" s="139"/>
      <c r="Q63" s="23"/>
    </row>
    <row r="64" spans="1:27" ht="35.25" customHeight="1" x14ac:dyDescent="0.25">
      <c r="A64" s="124" t="s">
        <v>132</v>
      </c>
      <c r="B64" s="118" t="s">
        <v>5</v>
      </c>
      <c r="C64" s="37" t="s">
        <v>22</v>
      </c>
      <c r="D64" s="118"/>
      <c r="E64" s="118"/>
      <c r="F64" s="17"/>
      <c r="G64" s="22"/>
      <c r="H64" s="21">
        <v>1</v>
      </c>
      <c r="I64" s="22"/>
      <c r="J64" s="22"/>
      <c r="K64" s="117"/>
      <c r="L64" s="117"/>
      <c r="M64" s="117"/>
      <c r="N64" s="21">
        <f t="shared" si="12"/>
        <v>1</v>
      </c>
      <c r="O64" s="136"/>
      <c r="P64" s="139"/>
      <c r="Q64" s="23"/>
    </row>
    <row r="65" spans="1:17" ht="68.25" customHeight="1" x14ac:dyDescent="0.25">
      <c r="A65" s="125"/>
      <c r="B65" s="118" t="s">
        <v>9</v>
      </c>
      <c r="C65" s="119" t="s">
        <v>10</v>
      </c>
      <c r="D65" s="22"/>
      <c r="E65" s="118"/>
      <c r="F65" s="17"/>
      <c r="G65" s="22"/>
      <c r="H65" s="22">
        <v>3000</v>
      </c>
      <c r="I65" s="22"/>
      <c r="J65" s="22"/>
      <c r="K65" s="117"/>
      <c r="L65" s="117"/>
      <c r="M65" s="117"/>
      <c r="N65" s="22">
        <f t="shared" si="12"/>
        <v>3000</v>
      </c>
      <c r="O65" s="136"/>
      <c r="P65" s="139"/>
      <c r="Q65" s="23"/>
    </row>
    <row r="66" spans="1:17" ht="38.25" hidden="1" customHeight="1" x14ac:dyDescent="0.25">
      <c r="A66" s="130"/>
      <c r="B66" s="118"/>
      <c r="C66" s="37"/>
      <c r="D66" s="118"/>
      <c r="E66" s="118"/>
      <c r="F66" s="17"/>
      <c r="G66" s="17"/>
      <c r="H66" s="17"/>
      <c r="I66" s="17"/>
      <c r="J66" s="118"/>
      <c r="K66" s="17"/>
      <c r="L66" s="17"/>
      <c r="M66" s="17"/>
      <c r="N66" s="21">
        <f t="shared" si="12"/>
        <v>0</v>
      </c>
      <c r="O66" s="136"/>
      <c r="P66" s="139"/>
      <c r="Q66" s="23"/>
    </row>
    <row r="67" spans="1:17" ht="25.5" hidden="1" customHeight="1" x14ac:dyDescent="0.25">
      <c r="A67" s="130"/>
      <c r="B67" s="118"/>
      <c r="C67" s="119"/>
      <c r="D67" s="118"/>
      <c r="E67" s="118"/>
      <c r="F67" s="17"/>
      <c r="G67" s="22"/>
      <c r="H67" s="22"/>
      <c r="I67" s="22"/>
      <c r="J67" s="22"/>
      <c r="K67" s="117"/>
      <c r="L67" s="117"/>
      <c r="M67" s="117"/>
      <c r="N67" s="22">
        <f t="shared" si="12"/>
        <v>0</v>
      </c>
      <c r="O67" s="136"/>
      <c r="P67" s="139"/>
      <c r="Q67" s="23"/>
    </row>
    <row r="68" spans="1:17" ht="71.25" hidden="1" customHeight="1" x14ac:dyDescent="0.25">
      <c r="A68" s="130"/>
      <c r="B68" s="118"/>
      <c r="C68" s="37"/>
      <c r="D68" s="118"/>
      <c r="E68" s="118"/>
      <c r="F68" s="17"/>
      <c r="G68" s="22"/>
      <c r="H68" s="17"/>
      <c r="I68" s="17"/>
      <c r="J68" s="118"/>
      <c r="K68" s="17"/>
      <c r="L68" s="17"/>
      <c r="M68" s="17"/>
      <c r="N68" s="21"/>
      <c r="O68" s="136"/>
      <c r="P68" s="139"/>
      <c r="Q68" s="23"/>
    </row>
    <row r="69" spans="1:17" ht="51.75" hidden="1" customHeight="1" x14ac:dyDescent="0.25">
      <c r="A69" s="130"/>
      <c r="B69" s="118"/>
      <c r="C69" s="119"/>
      <c r="D69" s="118"/>
      <c r="E69" s="22"/>
      <c r="F69" s="17"/>
      <c r="G69" s="22"/>
      <c r="H69" s="117"/>
      <c r="I69" s="117"/>
      <c r="J69" s="22"/>
      <c r="K69" s="117"/>
      <c r="L69" s="117"/>
      <c r="M69" s="117"/>
      <c r="N69" s="22"/>
      <c r="O69" s="136"/>
      <c r="P69" s="139"/>
      <c r="Q69" s="23"/>
    </row>
    <row r="70" spans="1:17" ht="0.75" hidden="1" customHeight="1" x14ac:dyDescent="0.25">
      <c r="A70" s="130"/>
      <c r="B70" s="118"/>
      <c r="C70" s="37"/>
      <c r="D70" s="118"/>
      <c r="E70" s="118"/>
      <c r="F70" s="17"/>
      <c r="G70" s="22"/>
      <c r="H70" s="17"/>
      <c r="I70" s="17"/>
      <c r="J70" s="17"/>
      <c r="K70" s="17"/>
      <c r="L70" s="17"/>
      <c r="M70" s="17"/>
      <c r="N70" s="21"/>
      <c r="O70" s="136"/>
      <c r="P70" s="139"/>
      <c r="Q70" s="23"/>
    </row>
    <row r="71" spans="1:17" ht="147" hidden="1" customHeight="1" x14ac:dyDescent="0.25">
      <c r="A71" s="130"/>
      <c r="B71" s="118"/>
      <c r="C71" s="119"/>
      <c r="D71" s="118"/>
      <c r="E71" s="118"/>
      <c r="F71" s="117"/>
      <c r="G71" s="22"/>
      <c r="H71" s="117"/>
      <c r="I71" s="117"/>
      <c r="J71" s="117"/>
      <c r="K71" s="117"/>
      <c r="L71" s="117"/>
      <c r="M71" s="117"/>
      <c r="N71" s="22"/>
      <c r="O71" s="43"/>
      <c r="P71" s="44"/>
      <c r="Q71" s="23"/>
    </row>
    <row r="72" spans="1:17" ht="21" hidden="1" customHeight="1" x14ac:dyDescent="0.25">
      <c r="A72" s="124"/>
      <c r="B72" s="118"/>
      <c r="C72" s="37"/>
      <c r="D72" s="118"/>
      <c r="E72" s="118"/>
      <c r="F72" s="17"/>
      <c r="G72" s="22"/>
      <c r="H72" s="117"/>
      <c r="I72" s="117"/>
      <c r="J72" s="117"/>
      <c r="K72" s="117"/>
      <c r="L72" s="117"/>
      <c r="M72" s="117"/>
      <c r="N72" s="21"/>
      <c r="O72" s="43"/>
      <c r="P72" s="44"/>
      <c r="Q72" s="23"/>
    </row>
    <row r="73" spans="1:17" ht="126.75" hidden="1" customHeight="1" x14ac:dyDescent="0.25">
      <c r="A73" s="125"/>
      <c r="B73" s="118"/>
      <c r="C73" s="119"/>
      <c r="D73" s="118"/>
      <c r="E73" s="118"/>
      <c r="F73" s="17"/>
      <c r="G73" s="22"/>
      <c r="H73" s="117"/>
      <c r="I73" s="117"/>
      <c r="J73" s="117"/>
      <c r="K73" s="117"/>
      <c r="L73" s="117"/>
      <c r="M73" s="117"/>
      <c r="N73" s="22"/>
      <c r="O73" s="43"/>
      <c r="P73" s="44"/>
      <c r="Q73" s="23"/>
    </row>
    <row r="74" spans="1:17" ht="21.75" hidden="1" customHeight="1" x14ac:dyDescent="0.25">
      <c r="A74" s="130"/>
      <c r="B74" s="118"/>
      <c r="C74" s="37"/>
      <c r="D74" s="118"/>
      <c r="E74" s="118"/>
      <c r="F74" s="17"/>
      <c r="G74" s="118"/>
      <c r="H74" s="117"/>
      <c r="I74" s="117"/>
      <c r="J74" s="21"/>
      <c r="K74" s="36"/>
      <c r="L74" s="36"/>
      <c r="M74" s="36"/>
      <c r="N74" s="21"/>
      <c r="O74" s="43"/>
      <c r="P74" s="44"/>
      <c r="Q74" s="23"/>
    </row>
    <row r="75" spans="1:17" ht="144.75" hidden="1" customHeight="1" x14ac:dyDescent="0.25">
      <c r="A75" s="130"/>
      <c r="B75" s="118"/>
      <c r="C75" s="119"/>
      <c r="D75" s="118"/>
      <c r="E75" s="22"/>
      <c r="F75" s="17"/>
      <c r="G75" s="22"/>
      <c r="H75" s="117"/>
      <c r="I75" s="117"/>
      <c r="J75" s="22"/>
      <c r="K75" s="117"/>
      <c r="L75" s="117"/>
      <c r="M75" s="117"/>
      <c r="N75" s="22"/>
      <c r="O75" s="43"/>
      <c r="P75" s="44"/>
      <c r="Q75" s="23"/>
    </row>
    <row r="76" spans="1:17" ht="53.25" customHeight="1" x14ac:dyDescent="0.25">
      <c r="A76" s="124" t="s">
        <v>133</v>
      </c>
      <c r="B76" s="118" t="s">
        <v>5</v>
      </c>
      <c r="C76" s="37" t="s">
        <v>22</v>
      </c>
      <c r="D76" s="118"/>
      <c r="E76" s="118"/>
      <c r="F76" s="17"/>
      <c r="G76" s="22"/>
      <c r="H76" s="17">
        <v>1</v>
      </c>
      <c r="I76" s="17"/>
      <c r="J76" s="22"/>
      <c r="K76" s="117"/>
      <c r="L76" s="117"/>
      <c r="M76" s="117"/>
      <c r="N76" s="21">
        <f t="shared" ref="N76:N102" si="15">D76+E76+F76+G76+H76+I76+J76+K76+L76+M76</f>
        <v>1</v>
      </c>
      <c r="O76" s="43"/>
      <c r="P76" s="44"/>
      <c r="Q76" s="23"/>
    </row>
    <row r="77" spans="1:17" ht="33" customHeight="1" x14ac:dyDescent="0.25">
      <c r="A77" s="125"/>
      <c r="B77" s="118" t="s">
        <v>9</v>
      </c>
      <c r="C77" s="119" t="s">
        <v>10</v>
      </c>
      <c r="D77" s="118"/>
      <c r="E77" s="118"/>
      <c r="F77" s="117"/>
      <c r="G77" s="22"/>
      <c r="H77" s="117">
        <v>6000</v>
      </c>
      <c r="I77" s="117"/>
      <c r="J77" s="22"/>
      <c r="K77" s="117"/>
      <c r="L77" s="117"/>
      <c r="M77" s="117"/>
      <c r="N77" s="22">
        <f t="shared" si="15"/>
        <v>6000</v>
      </c>
      <c r="O77" s="43"/>
      <c r="P77" s="44"/>
      <c r="Q77" s="23"/>
    </row>
    <row r="78" spans="1:17" ht="54" customHeight="1" x14ac:dyDescent="0.25">
      <c r="A78" s="124" t="s">
        <v>134</v>
      </c>
      <c r="B78" s="118" t="s">
        <v>5</v>
      </c>
      <c r="C78" s="37" t="s">
        <v>22</v>
      </c>
      <c r="D78" s="118"/>
      <c r="E78" s="118"/>
      <c r="F78" s="32"/>
      <c r="G78" s="32">
        <v>1</v>
      </c>
      <c r="H78" s="17"/>
      <c r="I78" s="36"/>
      <c r="J78" s="22"/>
      <c r="K78" s="117"/>
      <c r="L78" s="117"/>
      <c r="M78" s="117"/>
      <c r="N78" s="21">
        <f t="shared" si="15"/>
        <v>1</v>
      </c>
      <c r="O78" s="43"/>
      <c r="P78" s="44"/>
      <c r="Q78" s="23"/>
    </row>
    <row r="79" spans="1:17" ht="66.75" customHeight="1" x14ac:dyDescent="0.25">
      <c r="A79" s="125"/>
      <c r="B79" s="118" t="s">
        <v>9</v>
      </c>
      <c r="C79" s="119" t="s">
        <v>10</v>
      </c>
      <c r="D79" s="118"/>
      <c r="E79" s="22"/>
      <c r="F79" s="32"/>
      <c r="G79" s="32">
        <v>2353.4</v>
      </c>
      <c r="H79" s="17"/>
      <c r="I79" s="117"/>
      <c r="J79" s="22"/>
      <c r="K79" s="117"/>
      <c r="L79" s="117"/>
      <c r="M79" s="117"/>
      <c r="N79" s="22">
        <f t="shared" si="15"/>
        <v>2353.4</v>
      </c>
      <c r="O79" s="46"/>
      <c r="P79" s="66"/>
      <c r="Q79" s="23"/>
    </row>
    <row r="80" spans="1:17" ht="24.75" customHeight="1" x14ac:dyDescent="0.25">
      <c r="A80" s="124" t="s">
        <v>142</v>
      </c>
      <c r="B80" s="118" t="s">
        <v>5</v>
      </c>
      <c r="C80" s="37" t="s">
        <v>22</v>
      </c>
      <c r="D80" s="118"/>
      <c r="E80" s="21"/>
      <c r="F80" s="117"/>
      <c r="G80" s="22">
        <v>1</v>
      </c>
      <c r="H80" s="17"/>
      <c r="I80" s="117"/>
      <c r="J80" s="22"/>
      <c r="K80" s="117"/>
      <c r="L80" s="117"/>
      <c r="M80" s="117"/>
      <c r="N80" s="21">
        <f t="shared" ref="N80:N89" si="16">D80+E80+F80+G80+H80+I80+J80+K80+L80+M80</f>
        <v>1</v>
      </c>
      <c r="O80" s="43"/>
      <c r="P80" s="44"/>
      <c r="Q80" s="23"/>
    </row>
    <row r="81" spans="1:17" ht="51" customHeight="1" x14ac:dyDescent="0.25">
      <c r="A81" s="125"/>
      <c r="B81" s="118" t="s">
        <v>9</v>
      </c>
      <c r="C81" s="119" t="s">
        <v>10</v>
      </c>
      <c r="D81" s="22"/>
      <c r="E81" s="22"/>
      <c r="F81" s="117"/>
      <c r="G81" s="22">
        <v>15921.5</v>
      </c>
      <c r="H81" s="17"/>
      <c r="I81" s="117"/>
      <c r="J81" s="22"/>
      <c r="K81" s="117"/>
      <c r="L81" s="117"/>
      <c r="M81" s="117"/>
      <c r="N81" s="22">
        <f t="shared" si="16"/>
        <v>15921.5</v>
      </c>
      <c r="O81" s="43"/>
      <c r="P81" s="44"/>
      <c r="Q81" s="23"/>
    </row>
    <row r="82" spans="1:17" ht="37.5" customHeight="1" x14ac:dyDescent="0.25">
      <c r="A82" s="126" t="s">
        <v>135</v>
      </c>
      <c r="B82" s="118" t="s">
        <v>5</v>
      </c>
      <c r="C82" s="37" t="s">
        <v>22</v>
      </c>
      <c r="D82" s="61">
        <v>1</v>
      </c>
      <c r="E82" s="88"/>
      <c r="F82" s="88"/>
      <c r="G82" s="61"/>
      <c r="H82" s="61"/>
      <c r="I82" s="88"/>
      <c r="J82" s="88"/>
      <c r="K82" s="88"/>
      <c r="L82" s="88"/>
      <c r="M82" s="88"/>
      <c r="N82" s="21">
        <f t="shared" si="16"/>
        <v>1</v>
      </c>
      <c r="O82" s="43"/>
      <c r="P82" s="44"/>
      <c r="Q82" s="23"/>
    </row>
    <row r="83" spans="1:17" ht="66.75" customHeight="1" x14ac:dyDescent="0.25">
      <c r="A83" s="127"/>
      <c r="B83" s="118" t="s">
        <v>9</v>
      </c>
      <c r="C83" s="119" t="s">
        <v>10</v>
      </c>
      <c r="D83" s="61">
        <v>298.5</v>
      </c>
      <c r="E83" s="88"/>
      <c r="F83" s="88"/>
      <c r="G83" s="61"/>
      <c r="H83" s="61"/>
      <c r="I83" s="88"/>
      <c r="J83" s="88"/>
      <c r="K83" s="88"/>
      <c r="L83" s="88"/>
      <c r="M83" s="88"/>
      <c r="N83" s="22">
        <f t="shared" si="16"/>
        <v>298.5</v>
      </c>
      <c r="O83" s="43"/>
      <c r="P83" s="44"/>
      <c r="Q83" s="23"/>
    </row>
    <row r="84" spans="1:17" ht="0.75" hidden="1" customHeight="1" x14ac:dyDescent="0.25">
      <c r="A84" s="126"/>
      <c r="B84" s="118"/>
      <c r="C84" s="37"/>
      <c r="D84" s="61"/>
      <c r="E84" s="88"/>
      <c r="F84" s="88"/>
      <c r="G84" s="61"/>
      <c r="H84" s="61"/>
      <c r="I84" s="88"/>
      <c r="J84" s="88"/>
      <c r="K84" s="88"/>
      <c r="L84" s="88"/>
      <c r="M84" s="88"/>
      <c r="N84" s="21"/>
      <c r="O84" s="43"/>
      <c r="P84" s="44"/>
      <c r="Q84" s="23"/>
    </row>
    <row r="85" spans="1:17" ht="28.5" hidden="1" customHeight="1" x14ac:dyDescent="0.25">
      <c r="A85" s="127"/>
      <c r="B85" s="118"/>
      <c r="C85" s="119"/>
      <c r="D85" s="61"/>
      <c r="E85" s="88"/>
      <c r="F85" s="88"/>
      <c r="G85" s="61"/>
      <c r="H85" s="61"/>
      <c r="I85" s="88"/>
      <c r="J85" s="88"/>
      <c r="K85" s="88"/>
      <c r="L85" s="88"/>
      <c r="M85" s="88"/>
      <c r="N85" s="22"/>
      <c r="O85" s="43"/>
      <c r="P85" s="44"/>
      <c r="Q85" s="23"/>
    </row>
    <row r="86" spans="1:17" ht="42" customHeight="1" x14ac:dyDescent="0.25">
      <c r="A86" s="128" t="s">
        <v>168</v>
      </c>
      <c r="B86" s="118" t="s">
        <v>5</v>
      </c>
      <c r="C86" s="37" t="s">
        <v>22</v>
      </c>
      <c r="D86" s="61"/>
      <c r="E86" s="88"/>
      <c r="F86" s="88"/>
      <c r="G86" s="61"/>
      <c r="H86" s="89">
        <v>1</v>
      </c>
      <c r="I86" s="88"/>
      <c r="J86" s="88"/>
      <c r="K86" s="88"/>
      <c r="L86" s="88"/>
      <c r="M86" s="88"/>
      <c r="N86" s="21">
        <f t="shared" si="16"/>
        <v>1</v>
      </c>
      <c r="O86" s="43"/>
      <c r="P86" s="44"/>
      <c r="Q86" s="23"/>
    </row>
    <row r="87" spans="1:17" ht="141" customHeight="1" x14ac:dyDescent="0.25">
      <c r="A87" s="129"/>
      <c r="B87" s="118" t="s">
        <v>9</v>
      </c>
      <c r="C87" s="119" t="s">
        <v>10</v>
      </c>
      <c r="D87" s="61"/>
      <c r="E87" s="88"/>
      <c r="F87" s="88"/>
      <c r="G87" s="61"/>
      <c r="H87" s="89">
        <v>9835.9</v>
      </c>
      <c r="I87" s="88"/>
      <c r="J87" s="88"/>
      <c r="K87" s="88"/>
      <c r="L87" s="88"/>
      <c r="M87" s="88"/>
      <c r="N87" s="22">
        <f t="shared" si="16"/>
        <v>9835.9</v>
      </c>
      <c r="O87" s="43"/>
      <c r="P87" s="44"/>
      <c r="Q87" s="23"/>
    </row>
    <row r="88" spans="1:17" ht="44.25" customHeight="1" x14ac:dyDescent="0.25">
      <c r="A88" s="126" t="s">
        <v>137</v>
      </c>
      <c r="B88" s="118" t="s">
        <v>5</v>
      </c>
      <c r="C88" s="37" t="s">
        <v>22</v>
      </c>
      <c r="D88" s="61"/>
      <c r="E88" s="88"/>
      <c r="F88" s="61"/>
      <c r="G88" s="61">
        <v>1</v>
      </c>
      <c r="H88" s="61"/>
      <c r="I88" s="88"/>
      <c r="J88" s="88"/>
      <c r="K88" s="88"/>
      <c r="L88" s="88"/>
      <c r="M88" s="88"/>
      <c r="N88" s="21">
        <f t="shared" si="16"/>
        <v>1</v>
      </c>
      <c r="O88" s="43"/>
      <c r="P88" s="44"/>
      <c r="Q88" s="23"/>
    </row>
    <row r="89" spans="1:17" ht="51" customHeight="1" x14ac:dyDescent="0.25">
      <c r="A89" s="127"/>
      <c r="B89" s="118" t="s">
        <v>9</v>
      </c>
      <c r="C89" s="119" t="s">
        <v>10</v>
      </c>
      <c r="D89" s="61"/>
      <c r="E89" s="88"/>
      <c r="F89" s="61"/>
      <c r="G89" s="61">
        <v>1389.1</v>
      </c>
      <c r="H89" s="61"/>
      <c r="I89" s="88"/>
      <c r="J89" s="88"/>
      <c r="K89" s="88"/>
      <c r="L89" s="88"/>
      <c r="M89" s="88"/>
      <c r="N89" s="22">
        <f t="shared" si="16"/>
        <v>1389.1</v>
      </c>
      <c r="O89" s="43"/>
      <c r="P89" s="44"/>
      <c r="Q89" s="23"/>
    </row>
    <row r="90" spans="1:17" ht="26.25" customHeight="1" x14ac:dyDescent="0.25">
      <c r="A90" s="126" t="s">
        <v>136</v>
      </c>
      <c r="B90" s="118" t="s">
        <v>5</v>
      </c>
      <c r="C90" s="37" t="s">
        <v>22</v>
      </c>
      <c r="D90" s="89"/>
      <c r="E90" s="90"/>
      <c r="F90" s="89"/>
      <c r="G90" s="89">
        <v>1</v>
      </c>
      <c r="H90" s="89"/>
      <c r="I90" s="90"/>
      <c r="J90" s="90"/>
      <c r="K90" s="90"/>
      <c r="L90" s="90"/>
      <c r="M90" s="90"/>
      <c r="N90" s="75">
        <f t="shared" ref="N90:N101" si="17">D90+E90+F90+G90+H90+I90+J90+K90+L90+M90</f>
        <v>1</v>
      </c>
      <c r="O90" s="43"/>
      <c r="P90" s="44"/>
      <c r="Q90" s="23"/>
    </row>
    <row r="91" spans="1:17" ht="55.5" customHeight="1" x14ac:dyDescent="0.25">
      <c r="A91" s="127"/>
      <c r="B91" s="118" t="s">
        <v>9</v>
      </c>
      <c r="C91" s="119" t="s">
        <v>10</v>
      </c>
      <c r="D91" s="89"/>
      <c r="E91" s="90"/>
      <c r="F91" s="89"/>
      <c r="G91" s="89">
        <v>1995.9</v>
      </c>
      <c r="H91" s="89"/>
      <c r="I91" s="90"/>
      <c r="J91" s="90"/>
      <c r="K91" s="90"/>
      <c r="L91" s="90"/>
      <c r="M91" s="90"/>
      <c r="N91" s="75">
        <f t="shared" si="17"/>
        <v>1995.9</v>
      </c>
      <c r="O91" s="43"/>
      <c r="P91" s="44"/>
      <c r="Q91" s="23"/>
    </row>
    <row r="92" spans="1:17" ht="25.5" customHeight="1" x14ac:dyDescent="0.25">
      <c r="A92" s="126" t="s">
        <v>146</v>
      </c>
      <c r="B92" s="118" t="s">
        <v>5</v>
      </c>
      <c r="C92" s="37" t="s">
        <v>22</v>
      </c>
      <c r="D92" s="89">
        <v>1</v>
      </c>
      <c r="E92" s="90"/>
      <c r="F92" s="90"/>
      <c r="G92" s="89"/>
      <c r="H92" s="89"/>
      <c r="I92" s="90"/>
      <c r="J92" s="90"/>
      <c r="K92" s="90"/>
      <c r="L92" s="90"/>
      <c r="M92" s="90"/>
      <c r="N92" s="75">
        <f t="shared" si="17"/>
        <v>1</v>
      </c>
      <c r="O92" s="43"/>
      <c r="P92" s="44"/>
      <c r="Q92" s="23"/>
    </row>
    <row r="93" spans="1:17" ht="53.25" customHeight="1" x14ac:dyDescent="0.25">
      <c r="A93" s="127"/>
      <c r="B93" s="118" t="s">
        <v>9</v>
      </c>
      <c r="C93" s="119" t="s">
        <v>10</v>
      </c>
      <c r="D93" s="122">
        <v>700</v>
      </c>
      <c r="E93" s="90"/>
      <c r="F93" s="90"/>
      <c r="G93" s="89"/>
      <c r="H93" s="89"/>
      <c r="I93" s="90"/>
      <c r="J93" s="90"/>
      <c r="K93" s="90"/>
      <c r="L93" s="90"/>
      <c r="M93" s="90"/>
      <c r="N93" s="75">
        <f t="shared" si="17"/>
        <v>700</v>
      </c>
      <c r="O93" s="43"/>
      <c r="P93" s="44"/>
      <c r="Q93" s="23"/>
    </row>
    <row r="94" spans="1:17" ht="32.25" customHeight="1" x14ac:dyDescent="0.25">
      <c r="A94" s="126" t="s">
        <v>147</v>
      </c>
      <c r="B94" s="118" t="s">
        <v>5</v>
      </c>
      <c r="C94" s="37" t="s">
        <v>22</v>
      </c>
      <c r="D94" s="89"/>
      <c r="E94" s="89">
        <v>1</v>
      </c>
      <c r="F94" s="90"/>
      <c r="G94" s="89"/>
      <c r="H94" s="89"/>
      <c r="I94" s="90"/>
      <c r="J94" s="90"/>
      <c r="K94" s="90"/>
      <c r="L94" s="90"/>
      <c r="M94" s="90"/>
      <c r="N94" s="75">
        <f t="shared" si="17"/>
        <v>1</v>
      </c>
      <c r="O94" s="43"/>
      <c r="P94" s="44"/>
      <c r="Q94" s="23"/>
    </row>
    <row r="95" spans="1:17" ht="52.5" customHeight="1" x14ac:dyDescent="0.25">
      <c r="A95" s="127"/>
      <c r="B95" s="118" t="s">
        <v>9</v>
      </c>
      <c r="C95" s="119" t="s">
        <v>10</v>
      </c>
      <c r="D95" s="89"/>
      <c r="E95" s="89">
        <f>541.1+50</f>
        <v>591.1</v>
      </c>
      <c r="F95" s="90"/>
      <c r="G95" s="89"/>
      <c r="H95" s="89"/>
      <c r="I95" s="90"/>
      <c r="J95" s="90"/>
      <c r="K95" s="90"/>
      <c r="L95" s="90"/>
      <c r="M95" s="90"/>
      <c r="N95" s="75">
        <f t="shared" si="17"/>
        <v>591.1</v>
      </c>
      <c r="O95" s="43"/>
      <c r="P95" s="44"/>
      <c r="Q95" s="23"/>
    </row>
    <row r="96" spans="1:17" ht="55.5" hidden="1" customHeight="1" x14ac:dyDescent="0.25">
      <c r="A96" s="128"/>
      <c r="B96" s="118"/>
      <c r="C96" s="37"/>
      <c r="D96" s="89"/>
      <c r="E96" s="89"/>
      <c r="F96" s="90"/>
      <c r="G96" s="89"/>
      <c r="H96" s="89"/>
      <c r="I96" s="90"/>
      <c r="J96" s="90"/>
      <c r="K96" s="90"/>
      <c r="L96" s="90"/>
      <c r="M96" s="90"/>
      <c r="N96" s="75"/>
      <c r="O96" s="43"/>
      <c r="P96" s="44"/>
      <c r="Q96" s="23"/>
    </row>
    <row r="97" spans="1:18" ht="129" hidden="1" customHeight="1" x14ac:dyDescent="0.25">
      <c r="A97" s="129"/>
      <c r="B97" s="118"/>
      <c r="C97" s="119"/>
      <c r="D97" s="89"/>
      <c r="E97" s="89"/>
      <c r="F97" s="90"/>
      <c r="G97" s="89"/>
      <c r="H97" s="89"/>
      <c r="I97" s="90"/>
      <c r="J97" s="90"/>
      <c r="K97" s="90"/>
      <c r="L97" s="90"/>
      <c r="M97" s="90"/>
      <c r="N97" s="75"/>
      <c r="O97" s="43"/>
      <c r="P97" s="44"/>
      <c r="Q97" s="23"/>
    </row>
    <row r="98" spans="1:18" ht="55.5" customHeight="1" x14ac:dyDescent="0.25">
      <c r="A98" s="128" t="s">
        <v>169</v>
      </c>
      <c r="B98" s="118" t="s">
        <v>5</v>
      </c>
      <c r="C98" s="37" t="s">
        <v>22</v>
      </c>
      <c r="D98" s="89"/>
      <c r="E98" s="89"/>
      <c r="F98" s="90"/>
      <c r="G98" s="89"/>
      <c r="H98" s="89">
        <v>1</v>
      </c>
      <c r="I98" s="90"/>
      <c r="J98" s="90"/>
      <c r="K98" s="90"/>
      <c r="L98" s="90"/>
      <c r="M98" s="90"/>
      <c r="N98" s="75">
        <f t="shared" si="17"/>
        <v>1</v>
      </c>
      <c r="O98" s="43"/>
      <c r="P98" s="44"/>
      <c r="Q98" s="23"/>
    </row>
    <row r="99" spans="1:18" ht="24.75" customHeight="1" x14ac:dyDescent="0.25">
      <c r="A99" s="129"/>
      <c r="B99" s="118" t="s">
        <v>9</v>
      </c>
      <c r="C99" s="119" t="s">
        <v>10</v>
      </c>
      <c r="D99" s="89"/>
      <c r="E99" s="89"/>
      <c r="F99" s="90"/>
      <c r="G99" s="89"/>
      <c r="H99" s="120">
        <v>1500</v>
      </c>
      <c r="I99" s="90"/>
      <c r="J99" s="90"/>
      <c r="K99" s="90"/>
      <c r="L99" s="90"/>
      <c r="M99" s="90"/>
      <c r="N99" s="75">
        <f t="shared" si="17"/>
        <v>1500</v>
      </c>
      <c r="O99" s="43"/>
      <c r="P99" s="44"/>
      <c r="Q99" s="23"/>
    </row>
    <row r="100" spans="1:18" ht="33.75" customHeight="1" x14ac:dyDescent="0.25">
      <c r="A100" s="128" t="s">
        <v>170</v>
      </c>
      <c r="B100" s="118" t="s">
        <v>5</v>
      </c>
      <c r="C100" s="37" t="s">
        <v>22</v>
      </c>
      <c r="D100" s="89"/>
      <c r="E100" s="89"/>
      <c r="F100" s="90"/>
      <c r="G100" s="89"/>
      <c r="H100" s="89">
        <v>1</v>
      </c>
      <c r="I100" s="90"/>
      <c r="J100" s="90"/>
      <c r="K100" s="90"/>
      <c r="L100" s="90"/>
      <c r="M100" s="90"/>
      <c r="N100" s="75">
        <f t="shared" si="17"/>
        <v>1</v>
      </c>
      <c r="O100" s="43"/>
      <c r="P100" s="44"/>
      <c r="Q100" s="23"/>
    </row>
    <row r="101" spans="1:18" ht="49.5" customHeight="1" x14ac:dyDescent="0.25">
      <c r="A101" s="129"/>
      <c r="B101" s="118" t="s">
        <v>9</v>
      </c>
      <c r="C101" s="119" t="s">
        <v>10</v>
      </c>
      <c r="D101" s="89"/>
      <c r="E101" s="89"/>
      <c r="F101" s="90"/>
      <c r="G101" s="89"/>
      <c r="H101" s="89">
        <v>2793.3</v>
      </c>
      <c r="I101" s="90"/>
      <c r="J101" s="90"/>
      <c r="K101" s="90"/>
      <c r="L101" s="90"/>
      <c r="M101" s="90"/>
      <c r="N101" s="75">
        <f t="shared" si="17"/>
        <v>2793.3</v>
      </c>
      <c r="O101" s="43"/>
      <c r="P101" s="44"/>
      <c r="Q101" s="23"/>
    </row>
    <row r="102" spans="1:18" ht="35.25" customHeight="1" x14ac:dyDescent="0.25">
      <c r="A102" s="155" t="s">
        <v>52</v>
      </c>
      <c r="B102" s="118" t="s">
        <v>5</v>
      </c>
      <c r="C102" s="119" t="s">
        <v>6</v>
      </c>
      <c r="D102" s="117">
        <f>D109+D111+D113+D115+D117+D119+D121+D123+D127+D129+D131+D133+D135+D137+D141+D139+D143+D145+D147+D149+D151+D153</f>
        <v>0.5</v>
      </c>
      <c r="E102" s="117">
        <f t="shared" ref="E102:M102" si="18">E109+E111+E113+E115+E117+E119+E121+E123+E127+E129+E131+E133+E135+E137+E141+E139+E143+E145+E147+E149+E151+E153</f>
        <v>10</v>
      </c>
      <c r="F102" s="36">
        <f t="shared" si="18"/>
        <v>0</v>
      </c>
      <c r="G102" s="117">
        <f t="shared" si="18"/>
        <v>12.9</v>
      </c>
      <c r="H102" s="117">
        <f t="shared" si="18"/>
        <v>11.930000000000001</v>
      </c>
      <c r="I102" s="117">
        <f t="shared" si="18"/>
        <v>13.73</v>
      </c>
      <c r="J102" s="117">
        <f t="shared" si="18"/>
        <v>2.25</v>
      </c>
      <c r="K102" s="36">
        <f t="shared" si="18"/>
        <v>0</v>
      </c>
      <c r="L102" s="36">
        <f t="shared" si="18"/>
        <v>0</v>
      </c>
      <c r="M102" s="117">
        <f t="shared" si="18"/>
        <v>1.6</v>
      </c>
      <c r="N102" s="22">
        <f t="shared" si="15"/>
        <v>52.910000000000004</v>
      </c>
      <c r="O102" s="80"/>
      <c r="P102" s="82"/>
      <c r="Q102" s="23"/>
    </row>
    <row r="103" spans="1:18" ht="26.25" customHeight="1" x14ac:dyDescent="0.25">
      <c r="A103" s="156"/>
      <c r="B103" s="118" t="s">
        <v>15</v>
      </c>
      <c r="C103" s="119" t="s">
        <v>10</v>
      </c>
      <c r="D103" s="22">
        <f>D104/D102</f>
        <v>80491.400000000009</v>
      </c>
      <c r="E103" s="22">
        <f>E104/E102</f>
        <v>308.64999999999998</v>
      </c>
      <c r="F103" s="21">
        <v>0</v>
      </c>
      <c r="G103" s="22">
        <f t="shared" ref="G103:I103" si="19">G104/G102</f>
        <v>12284.348062015502</v>
      </c>
      <c r="H103" s="22">
        <f t="shared" si="19"/>
        <v>15045.968147527239</v>
      </c>
      <c r="I103" s="22">
        <f t="shared" si="19"/>
        <v>286.42388929351785</v>
      </c>
      <c r="J103" s="21">
        <v>0</v>
      </c>
      <c r="K103" s="21">
        <v>0</v>
      </c>
      <c r="L103" s="21">
        <v>0</v>
      </c>
      <c r="M103" s="21">
        <v>0</v>
      </c>
      <c r="N103" s="22">
        <f>N104/N102</f>
        <v>7280.8786618786608</v>
      </c>
      <c r="O103" s="81"/>
      <c r="P103" s="83"/>
      <c r="Q103" s="23"/>
    </row>
    <row r="104" spans="1:18" ht="30" customHeight="1" x14ac:dyDescent="0.25">
      <c r="A104" s="156"/>
      <c r="B104" s="118" t="s">
        <v>46</v>
      </c>
      <c r="C104" s="119" t="s">
        <v>10</v>
      </c>
      <c r="D104" s="22">
        <f>D105+D106+D107+D108</f>
        <v>40245.700000000004</v>
      </c>
      <c r="E104" s="22">
        <f t="shared" ref="E104:M104" si="20">E105+E106+E107+E108</f>
        <v>3086.5</v>
      </c>
      <c r="F104" s="21">
        <f t="shared" si="20"/>
        <v>0</v>
      </c>
      <c r="G104" s="22">
        <f t="shared" si="20"/>
        <v>158468.09</v>
      </c>
      <c r="H104" s="22">
        <f t="shared" si="20"/>
        <v>179498.4</v>
      </c>
      <c r="I104" s="22">
        <f t="shared" si="20"/>
        <v>3932.6</v>
      </c>
      <c r="J104" s="21">
        <f t="shared" si="20"/>
        <v>0</v>
      </c>
      <c r="K104" s="21">
        <f t="shared" si="20"/>
        <v>0</v>
      </c>
      <c r="L104" s="21">
        <f t="shared" si="20"/>
        <v>0</v>
      </c>
      <c r="M104" s="21">
        <f t="shared" si="20"/>
        <v>0</v>
      </c>
      <c r="N104" s="22">
        <f t="shared" ref="N104:N110" si="21">D104+E104+F104+G104+H104+I104+J104+K104+L104+M104</f>
        <v>385231.29</v>
      </c>
      <c r="O104" s="81"/>
      <c r="P104" s="83"/>
      <c r="Q104" s="23">
        <f>N110+N112+N114+N116+N118+N120+N122+N124+N128+N130+N132+N134+N136+N138+N142+N140+N144+N146+N148+N150+N152+N154+N156+N158+N160</f>
        <v>385231.29000000004</v>
      </c>
      <c r="R104" s="29"/>
    </row>
    <row r="105" spans="1:18" ht="32.25" customHeight="1" x14ac:dyDescent="0.25">
      <c r="A105" s="156"/>
      <c r="B105" s="118" t="s">
        <v>16</v>
      </c>
      <c r="C105" s="119" t="s">
        <v>10</v>
      </c>
      <c r="D105" s="21">
        <v>0</v>
      </c>
      <c r="E105" s="21">
        <v>0</v>
      </c>
      <c r="F105" s="36">
        <v>0</v>
      </c>
      <c r="G105" s="36">
        <v>0</v>
      </c>
      <c r="H105" s="36">
        <v>0</v>
      </c>
      <c r="I105" s="36">
        <v>0</v>
      </c>
      <c r="J105" s="21">
        <v>0</v>
      </c>
      <c r="K105" s="21">
        <v>0</v>
      </c>
      <c r="L105" s="21">
        <v>0</v>
      </c>
      <c r="M105" s="21">
        <v>0</v>
      </c>
      <c r="N105" s="21">
        <f t="shared" si="21"/>
        <v>0</v>
      </c>
      <c r="O105" s="135" t="s">
        <v>55</v>
      </c>
      <c r="P105" s="138" t="s">
        <v>53</v>
      </c>
      <c r="Q105" s="23"/>
    </row>
    <row r="106" spans="1:18" ht="30" customHeight="1" x14ac:dyDescent="0.25">
      <c r="A106" s="156"/>
      <c r="B106" s="118" t="s">
        <v>12</v>
      </c>
      <c r="C106" s="119" t="s">
        <v>10</v>
      </c>
      <c r="D106" s="22">
        <f>38474.9</f>
        <v>38474.9</v>
      </c>
      <c r="E106" s="22">
        <v>0</v>
      </c>
      <c r="F106" s="21">
        <v>0</v>
      </c>
      <c r="G106" s="22">
        <f>G110*95%</f>
        <v>147219.68549999999</v>
      </c>
      <c r="H106" s="22">
        <f>H110*95%+H144*95%</f>
        <v>166998.97999999998</v>
      </c>
      <c r="I106" s="21">
        <f t="shared" ref="I106:M106" si="22">I110</f>
        <v>0</v>
      </c>
      <c r="J106" s="21">
        <f t="shared" si="22"/>
        <v>0</v>
      </c>
      <c r="K106" s="21">
        <f t="shared" si="22"/>
        <v>0</v>
      </c>
      <c r="L106" s="21">
        <f t="shared" si="22"/>
        <v>0</v>
      </c>
      <c r="M106" s="21">
        <f t="shared" si="22"/>
        <v>0</v>
      </c>
      <c r="N106" s="22">
        <f t="shared" si="21"/>
        <v>352693.56549999997</v>
      </c>
      <c r="O106" s="136"/>
      <c r="P106" s="139"/>
      <c r="Q106" s="23"/>
    </row>
    <row r="107" spans="1:18" ht="32.25" customHeight="1" x14ac:dyDescent="0.25">
      <c r="A107" s="156"/>
      <c r="B107" s="118" t="s">
        <v>8</v>
      </c>
      <c r="C107" s="119" t="s">
        <v>10</v>
      </c>
      <c r="D107" s="22">
        <f>1770.8</f>
        <v>1770.8</v>
      </c>
      <c r="E107" s="22">
        <f>E134+E136+E138+E140</f>
        <v>3086.5</v>
      </c>
      <c r="F107" s="21">
        <f t="shared" ref="F107" si="23">F134+F136+F138+F140</f>
        <v>0</v>
      </c>
      <c r="G107" s="22">
        <f>G132+G134+G136+G138+G140+G110*5%</f>
        <v>11248.404500000001</v>
      </c>
      <c r="H107" s="22">
        <f>H110*5%+H144*5%+H140</f>
        <v>12499.42</v>
      </c>
      <c r="I107" s="22">
        <f>I140</f>
        <v>3932.6</v>
      </c>
      <c r="J107" s="21">
        <f t="shared" ref="J107:M107" si="24">J134+J136+J138+J142</f>
        <v>0</v>
      </c>
      <c r="K107" s="21">
        <f t="shared" si="24"/>
        <v>0</v>
      </c>
      <c r="L107" s="21">
        <f t="shared" si="24"/>
        <v>0</v>
      </c>
      <c r="M107" s="21">
        <f t="shared" si="24"/>
        <v>0</v>
      </c>
      <c r="N107" s="22">
        <f t="shared" si="21"/>
        <v>32537.724499999997</v>
      </c>
      <c r="O107" s="136"/>
      <c r="P107" s="139"/>
      <c r="Q107" s="23"/>
    </row>
    <row r="108" spans="1:18" ht="27.75" customHeight="1" x14ac:dyDescent="0.25">
      <c r="A108" s="146"/>
      <c r="B108" s="118" t="s">
        <v>17</v>
      </c>
      <c r="C108" s="119" t="s">
        <v>10</v>
      </c>
      <c r="D108" s="21">
        <v>0</v>
      </c>
      <c r="E108" s="21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21">
        <f t="shared" si="21"/>
        <v>0</v>
      </c>
      <c r="O108" s="136"/>
      <c r="P108" s="139"/>
      <c r="Q108" s="23"/>
    </row>
    <row r="109" spans="1:18" ht="30" customHeight="1" x14ac:dyDescent="0.25">
      <c r="A109" s="130" t="s">
        <v>61</v>
      </c>
      <c r="B109" s="118" t="s">
        <v>5</v>
      </c>
      <c r="C109" s="37" t="s">
        <v>6</v>
      </c>
      <c r="D109" s="22"/>
      <c r="E109" s="22"/>
      <c r="F109" s="117"/>
      <c r="G109" s="117">
        <v>1.1000000000000001</v>
      </c>
      <c r="H109" s="117">
        <v>1.1000000000000001</v>
      </c>
      <c r="I109" s="117"/>
      <c r="J109" s="117"/>
      <c r="K109" s="22"/>
      <c r="L109" s="32"/>
      <c r="M109" s="22"/>
      <c r="N109" s="22">
        <f t="shared" si="21"/>
        <v>2.2000000000000002</v>
      </c>
      <c r="O109" s="136"/>
      <c r="P109" s="139"/>
      <c r="Q109" s="23"/>
    </row>
    <row r="110" spans="1:18" ht="27" customHeight="1" x14ac:dyDescent="0.25">
      <c r="A110" s="130"/>
      <c r="B110" s="118" t="s">
        <v>9</v>
      </c>
      <c r="C110" s="119" t="s">
        <v>10</v>
      </c>
      <c r="D110" s="22"/>
      <c r="E110" s="22"/>
      <c r="F110" s="117"/>
      <c r="G110" s="117">
        <f>154968.09</f>
        <v>154968.09</v>
      </c>
      <c r="H110" s="117">
        <f>159116.44</f>
        <v>159116.44</v>
      </c>
      <c r="I110" s="117"/>
      <c r="J110" s="117"/>
      <c r="K110" s="22"/>
      <c r="L110" s="32"/>
      <c r="M110" s="22"/>
      <c r="N110" s="22">
        <f t="shared" si="21"/>
        <v>314084.53000000003</v>
      </c>
      <c r="O110" s="136"/>
      <c r="P110" s="139"/>
      <c r="Q110" s="23"/>
    </row>
    <row r="111" spans="1:18" ht="36" customHeight="1" x14ac:dyDescent="0.25">
      <c r="A111" s="124" t="s">
        <v>97</v>
      </c>
      <c r="B111" s="118" t="s">
        <v>5</v>
      </c>
      <c r="C111" s="37" t="s">
        <v>6</v>
      </c>
      <c r="D111" s="118">
        <v>0.5</v>
      </c>
      <c r="E111" s="118"/>
      <c r="F111" s="17"/>
      <c r="G111" s="22"/>
      <c r="H111" s="17"/>
      <c r="I111" s="36"/>
      <c r="J111" s="22"/>
      <c r="K111" s="117"/>
      <c r="L111" s="32"/>
      <c r="M111" s="22"/>
      <c r="N111" s="22">
        <f t="shared" ref="N111:N112" si="25">D111+E111+F111+G111+H111+I111+J111+K111+L111+M111</f>
        <v>0.5</v>
      </c>
      <c r="O111" s="136"/>
      <c r="P111" s="139"/>
      <c r="Q111" s="23"/>
    </row>
    <row r="112" spans="1:18" ht="31.5" customHeight="1" x14ac:dyDescent="0.25">
      <c r="A112" s="125"/>
      <c r="B112" s="118" t="s">
        <v>9</v>
      </c>
      <c r="C112" s="119" t="s">
        <v>10</v>
      </c>
      <c r="D112" s="22">
        <f>40245.7</f>
        <v>40245.699999999997</v>
      </c>
      <c r="E112" s="118"/>
      <c r="F112" s="17"/>
      <c r="G112" s="22"/>
      <c r="H112" s="17"/>
      <c r="I112" s="117"/>
      <c r="J112" s="22"/>
      <c r="K112" s="117"/>
      <c r="L112" s="32"/>
      <c r="M112" s="22"/>
      <c r="N112" s="22">
        <f t="shared" si="25"/>
        <v>40245.699999999997</v>
      </c>
      <c r="O112" s="136"/>
      <c r="P112" s="139"/>
      <c r="Q112" s="23"/>
    </row>
    <row r="113" spans="1:17" ht="37.5" customHeight="1" x14ac:dyDescent="0.25">
      <c r="A113" s="153" t="s">
        <v>124</v>
      </c>
      <c r="B113" s="22" t="s">
        <v>5</v>
      </c>
      <c r="C113" s="40" t="s">
        <v>6</v>
      </c>
      <c r="D113" s="117"/>
      <c r="E113" s="117"/>
      <c r="F113" s="117"/>
      <c r="G113" s="117"/>
      <c r="H113" s="117">
        <v>0.1</v>
      </c>
      <c r="I113" s="32"/>
      <c r="J113" s="117"/>
      <c r="K113" s="117"/>
      <c r="L113" s="32"/>
      <c r="M113" s="117"/>
      <c r="N113" s="22">
        <f>D113+E113+F113+G113+H113+I113+J113+K113+L113+M113</f>
        <v>0.1</v>
      </c>
      <c r="O113" s="136"/>
      <c r="P113" s="139"/>
      <c r="Q113" s="23"/>
    </row>
    <row r="114" spans="1:17" ht="63" customHeight="1" x14ac:dyDescent="0.25">
      <c r="A114" s="153"/>
      <c r="B114" s="22" t="s">
        <v>9</v>
      </c>
      <c r="C114" s="39" t="s">
        <v>10</v>
      </c>
      <c r="D114" s="22"/>
      <c r="E114" s="22"/>
      <c r="F114" s="22"/>
      <c r="G114" s="22"/>
      <c r="H114" s="22" t="s">
        <v>56</v>
      </c>
      <c r="I114" s="32"/>
      <c r="J114" s="117"/>
      <c r="K114" s="117"/>
      <c r="L114" s="32"/>
      <c r="M114" s="117"/>
      <c r="N114" s="22">
        <v>0</v>
      </c>
      <c r="O114" s="136"/>
      <c r="P114" s="139"/>
      <c r="Q114" s="23"/>
    </row>
    <row r="115" spans="1:17" ht="45" customHeight="1" x14ac:dyDescent="0.25">
      <c r="A115" s="124" t="s">
        <v>62</v>
      </c>
      <c r="B115" s="118" t="s">
        <v>5</v>
      </c>
      <c r="C115" s="37" t="s">
        <v>6</v>
      </c>
      <c r="D115" s="118"/>
      <c r="E115" s="117"/>
      <c r="F115" s="117"/>
      <c r="G115" s="117"/>
      <c r="H115" s="117"/>
      <c r="I115" s="117">
        <v>2</v>
      </c>
      <c r="J115" s="22"/>
      <c r="K115" s="117"/>
      <c r="L115" s="32"/>
      <c r="M115" s="22"/>
      <c r="N115" s="22">
        <f>D115+E115+F115+G115+H115+I115+J115+K115+L115+M115</f>
        <v>2</v>
      </c>
      <c r="O115" s="136"/>
      <c r="P115" s="139"/>
      <c r="Q115" s="31"/>
    </row>
    <row r="116" spans="1:17" ht="27.75" customHeight="1" x14ac:dyDescent="0.25">
      <c r="A116" s="125"/>
      <c r="B116" s="118" t="s">
        <v>9</v>
      </c>
      <c r="C116" s="119" t="s">
        <v>10</v>
      </c>
      <c r="D116" s="118"/>
      <c r="E116" s="17"/>
      <c r="F116" s="17"/>
      <c r="G116" s="17"/>
      <c r="H116" s="17"/>
      <c r="I116" s="17" t="s">
        <v>56</v>
      </c>
      <c r="J116" s="22"/>
      <c r="K116" s="117"/>
      <c r="L116" s="32"/>
      <c r="M116" s="22"/>
      <c r="N116" s="22">
        <v>0</v>
      </c>
      <c r="O116" s="136"/>
      <c r="P116" s="139"/>
      <c r="Q116" s="38"/>
    </row>
    <row r="117" spans="1:17" ht="27.75" customHeight="1" x14ac:dyDescent="0.25">
      <c r="A117" s="130" t="s">
        <v>138</v>
      </c>
      <c r="B117" s="118" t="s">
        <v>5</v>
      </c>
      <c r="C117" s="37" t="s">
        <v>6</v>
      </c>
      <c r="D117" s="22"/>
      <c r="E117" s="117"/>
      <c r="F117" s="117"/>
      <c r="G117" s="117">
        <v>0.8</v>
      </c>
      <c r="H117" s="117"/>
      <c r="I117" s="117"/>
      <c r="J117" s="117"/>
      <c r="K117" s="22"/>
      <c r="L117" s="32"/>
      <c r="M117" s="22"/>
      <c r="N117" s="22">
        <f>D117+E117+F117+G117+H117+I117+J117+K117+L117+M117</f>
        <v>0.8</v>
      </c>
      <c r="O117" s="136"/>
      <c r="P117" s="139"/>
      <c r="Q117" s="23"/>
    </row>
    <row r="118" spans="1:17" ht="29.25" customHeight="1" x14ac:dyDescent="0.25">
      <c r="A118" s="130"/>
      <c r="B118" s="118" t="s">
        <v>9</v>
      </c>
      <c r="C118" s="119" t="s">
        <v>10</v>
      </c>
      <c r="D118" s="22"/>
      <c r="E118" s="117"/>
      <c r="F118" s="117"/>
      <c r="G118" s="117" t="s">
        <v>56</v>
      </c>
      <c r="H118" s="117"/>
      <c r="I118" s="117"/>
      <c r="J118" s="117"/>
      <c r="K118" s="22"/>
      <c r="L118" s="32"/>
      <c r="M118" s="22"/>
      <c r="N118" s="22">
        <v>0</v>
      </c>
      <c r="O118" s="136"/>
      <c r="P118" s="139"/>
      <c r="Q118" s="23"/>
    </row>
    <row r="119" spans="1:17" ht="64.5" hidden="1" customHeight="1" x14ac:dyDescent="0.25">
      <c r="A119" s="130"/>
      <c r="B119" s="22"/>
      <c r="C119" s="40"/>
      <c r="D119" s="117"/>
      <c r="E119" s="117"/>
      <c r="F119" s="117"/>
      <c r="G119" s="117"/>
      <c r="H119" s="117"/>
      <c r="I119" s="117"/>
      <c r="J119" s="117"/>
      <c r="K119" s="117"/>
      <c r="L119" s="32"/>
      <c r="M119" s="117"/>
      <c r="N119" s="22"/>
      <c r="O119" s="136"/>
      <c r="P119" s="139"/>
      <c r="Q119" s="23"/>
    </row>
    <row r="120" spans="1:17" ht="103.5" hidden="1" customHeight="1" x14ac:dyDescent="0.25">
      <c r="A120" s="145"/>
      <c r="B120" s="22"/>
      <c r="C120" s="39"/>
      <c r="D120" s="22"/>
      <c r="E120" s="22"/>
      <c r="F120" s="117"/>
      <c r="G120" s="117"/>
      <c r="H120" s="117"/>
      <c r="I120" s="117"/>
      <c r="J120" s="22"/>
      <c r="K120" s="22"/>
      <c r="L120" s="32"/>
      <c r="M120" s="22"/>
      <c r="N120" s="22"/>
      <c r="O120" s="137"/>
      <c r="P120" s="140"/>
      <c r="Q120" s="23"/>
    </row>
    <row r="121" spans="1:17" ht="36.75" customHeight="1" x14ac:dyDescent="0.25">
      <c r="A121" s="130" t="s">
        <v>128</v>
      </c>
      <c r="B121" s="118" t="s">
        <v>5</v>
      </c>
      <c r="C121" s="37" t="s">
        <v>6</v>
      </c>
      <c r="D121" s="22"/>
      <c r="E121" s="22"/>
      <c r="F121" s="117"/>
      <c r="G121" s="117"/>
      <c r="H121" s="117"/>
      <c r="I121" s="117"/>
      <c r="J121" s="117"/>
      <c r="K121" s="117"/>
      <c r="L121" s="32"/>
      <c r="M121" s="117">
        <v>1.6</v>
      </c>
      <c r="N121" s="22">
        <f>D121+E121+F121+G121+H121+I121+J121+K121+L121+M121</f>
        <v>1.6</v>
      </c>
      <c r="O121" s="64" t="s">
        <v>55</v>
      </c>
      <c r="P121" s="65" t="s">
        <v>53</v>
      </c>
      <c r="Q121" s="23"/>
    </row>
    <row r="122" spans="1:17" ht="70.5" customHeight="1" x14ac:dyDescent="0.25">
      <c r="A122" s="130"/>
      <c r="B122" s="118" t="s">
        <v>9</v>
      </c>
      <c r="C122" s="119" t="s">
        <v>10</v>
      </c>
      <c r="D122" s="22"/>
      <c r="E122" s="22"/>
      <c r="F122" s="117"/>
      <c r="G122" s="117"/>
      <c r="H122" s="117"/>
      <c r="I122" s="117"/>
      <c r="J122" s="117"/>
      <c r="K122" s="117"/>
      <c r="L122" s="32"/>
      <c r="M122" s="117" t="s">
        <v>56</v>
      </c>
      <c r="N122" s="22">
        <v>0</v>
      </c>
      <c r="O122" s="43"/>
      <c r="P122" s="44"/>
      <c r="Q122" s="23"/>
    </row>
    <row r="123" spans="1:17" ht="25.5" customHeight="1" x14ac:dyDescent="0.25">
      <c r="A123" s="124" t="s">
        <v>129</v>
      </c>
      <c r="B123" s="118" t="s">
        <v>5</v>
      </c>
      <c r="C123" s="37" t="s">
        <v>6</v>
      </c>
      <c r="D123" s="22"/>
      <c r="E123" s="118"/>
      <c r="F123" s="118"/>
      <c r="G123" s="118">
        <v>1</v>
      </c>
      <c r="H123" s="17"/>
      <c r="I123" s="36"/>
      <c r="J123" s="22"/>
      <c r="K123" s="32"/>
      <c r="L123" s="22"/>
      <c r="M123" s="117"/>
      <c r="N123" s="22">
        <f>D123+E123+F123+G123+H123+I123+J123+K123+L123+M123</f>
        <v>1</v>
      </c>
      <c r="O123" s="43"/>
      <c r="P123" s="44"/>
      <c r="Q123" s="23"/>
    </row>
    <row r="124" spans="1:17" ht="34.5" customHeight="1" x14ac:dyDescent="0.25">
      <c r="A124" s="125"/>
      <c r="B124" s="118" t="s">
        <v>9</v>
      </c>
      <c r="C124" s="119" t="s">
        <v>10</v>
      </c>
      <c r="D124" s="118"/>
      <c r="E124" s="118"/>
      <c r="F124" s="118"/>
      <c r="G124" s="118" t="s">
        <v>56</v>
      </c>
      <c r="H124" s="17"/>
      <c r="I124" s="117"/>
      <c r="J124" s="22"/>
      <c r="K124" s="32"/>
      <c r="L124" s="22"/>
      <c r="M124" s="117"/>
      <c r="N124" s="22">
        <v>0</v>
      </c>
      <c r="O124" s="43"/>
      <c r="P124" s="44"/>
      <c r="Q124" s="23"/>
    </row>
    <row r="125" spans="1:17" ht="30" hidden="1" customHeight="1" x14ac:dyDescent="0.25">
      <c r="A125" s="130"/>
      <c r="B125" s="118"/>
      <c r="C125" s="37"/>
      <c r="D125" s="22"/>
      <c r="E125" s="22"/>
      <c r="F125" s="117"/>
      <c r="G125" s="117"/>
      <c r="H125" s="117"/>
      <c r="I125" s="117"/>
      <c r="J125" s="117"/>
      <c r="K125" s="22"/>
      <c r="L125" s="32"/>
      <c r="M125" s="22"/>
      <c r="N125" s="22"/>
      <c r="O125" s="43"/>
      <c r="P125" s="44"/>
      <c r="Q125" s="23"/>
    </row>
    <row r="126" spans="1:17" ht="24.75" hidden="1" customHeight="1" x14ac:dyDescent="0.25">
      <c r="A126" s="130"/>
      <c r="B126" s="118"/>
      <c r="C126" s="119"/>
      <c r="D126" s="22"/>
      <c r="E126" s="22"/>
      <c r="F126" s="117"/>
      <c r="G126" s="117"/>
      <c r="H126" s="117"/>
      <c r="I126" s="117"/>
      <c r="J126" s="117"/>
      <c r="K126" s="22"/>
      <c r="L126" s="32"/>
      <c r="M126" s="22"/>
      <c r="N126" s="22"/>
      <c r="O126" s="43"/>
      <c r="P126" s="44"/>
      <c r="Q126" s="23"/>
    </row>
    <row r="127" spans="1:17" ht="42.75" hidden="1" customHeight="1" x14ac:dyDescent="0.25">
      <c r="A127" s="153"/>
      <c r="B127" s="22"/>
      <c r="C127" s="40"/>
      <c r="D127" s="117"/>
      <c r="E127" s="117"/>
      <c r="F127" s="117"/>
      <c r="G127" s="117"/>
      <c r="H127" s="117"/>
      <c r="I127" s="32"/>
      <c r="J127" s="117"/>
      <c r="K127" s="117"/>
      <c r="L127" s="32"/>
      <c r="M127" s="117"/>
      <c r="N127" s="22"/>
      <c r="O127" s="43"/>
      <c r="P127" s="44"/>
      <c r="Q127" s="23"/>
    </row>
    <row r="128" spans="1:17" ht="73.5" hidden="1" customHeight="1" x14ac:dyDescent="0.25">
      <c r="A128" s="161"/>
      <c r="B128" s="22"/>
      <c r="C128" s="39"/>
      <c r="D128" s="22"/>
      <c r="E128" s="22"/>
      <c r="F128" s="117"/>
      <c r="G128" s="117"/>
      <c r="H128" s="117"/>
      <c r="I128" s="32"/>
      <c r="J128" s="117"/>
      <c r="K128" s="117"/>
      <c r="L128" s="32"/>
      <c r="M128" s="117"/>
      <c r="N128" s="22"/>
      <c r="O128" s="43"/>
      <c r="P128" s="44"/>
      <c r="Q128" s="23"/>
    </row>
    <row r="129" spans="1:17" ht="39.75" customHeight="1" x14ac:dyDescent="0.25">
      <c r="A129" s="124" t="s">
        <v>130</v>
      </c>
      <c r="B129" s="118" t="s">
        <v>5</v>
      </c>
      <c r="C129" s="37" t="s">
        <v>6</v>
      </c>
      <c r="D129" s="118"/>
      <c r="E129" s="118"/>
      <c r="F129" s="17"/>
      <c r="G129" s="22"/>
      <c r="H129" s="17"/>
      <c r="I129" s="17">
        <v>0.3</v>
      </c>
      <c r="J129" s="22"/>
      <c r="K129" s="117"/>
      <c r="L129" s="32"/>
      <c r="M129" s="117"/>
      <c r="N129" s="22">
        <f>D129+E129+F129+G129+H129+I129+J129+K129+L129+M129</f>
        <v>0.3</v>
      </c>
      <c r="O129" s="43"/>
      <c r="P129" s="44"/>
      <c r="Q129" s="23"/>
    </row>
    <row r="130" spans="1:17" ht="54.75" customHeight="1" x14ac:dyDescent="0.25">
      <c r="A130" s="125"/>
      <c r="B130" s="118" t="s">
        <v>9</v>
      </c>
      <c r="C130" s="119" t="s">
        <v>10</v>
      </c>
      <c r="D130" s="118"/>
      <c r="E130" s="118"/>
      <c r="F130" s="17"/>
      <c r="G130" s="22"/>
      <c r="H130" s="17"/>
      <c r="I130" s="17" t="s">
        <v>56</v>
      </c>
      <c r="J130" s="22"/>
      <c r="K130" s="117"/>
      <c r="L130" s="32"/>
      <c r="M130" s="117"/>
      <c r="N130" s="22">
        <v>0</v>
      </c>
      <c r="O130" s="43"/>
      <c r="P130" s="44"/>
      <c r="Q130" s="23"/>
    </row>
    <row r="131" spans="1:17" ht="25.5" customHeight="1" x14ac:dyDescent="0.25">
      <c r="A131" s="153" t="s">
        <v>139</v>
      </c>
      <c r="B131" s="118" t="s">
        <v>5</v>
      </c>
      <c r="C131" s="37" t="s">
        <v>22</v>
      </c>
      <c r="D131" s="117"/>
      <c r="E131" s="117"/>
      <c r="F131" s="36"/>
      <c r="G131" s="36"/>
      <c r="H131" s="117"/>
      <c r="I131" s="32"/>
      <c r="J131" s="117">
        <v>1</v>
      </c>
      <c r="K131" s="117"/>
      <c r="L131" s="32"/>
      <c r="M131" s="117"/>
      <c r="N131" s="22">
        <f t="shared" ref="N131:N155" si="26">D131+E131+F131+G131+H131+I131+J131+K131+L131+M131</f>
        <v>1</v>
      </c>
      <c r="O131" s="43"/>
      <c r="P131" s="44"/>
      <c r="Q131" s="23"/>
    </row>
    <row r="132" spans="1:17" ht="26.25" customHeight="1" x14ac:dyDescent="0.25">
      <c r="A132" s="161"/>
      <c r="B132" s="118" t="s">
        <v>9</v>
      </c>
      <c r="C132" s="119" t="s">
        <v>10</v>
      </c>
      <c r="D132" s="22"/>
      <c r="E132" s="22"/>
      <c r="F132" s="117"/>
      <c r="G132" s="117"/>
      <c r="H132" s="17"/>
      <c r="I132" s="32"/>
      <c r="J132" s="17" t="s">
        <v>56</v>
      </c>
      <c r="K132" s="117"/>
      <c r="L132" s="32"/>
      <c r="M132" s="117"/>
      <c r="N132" s="22">
        <v>0</v>
      </c>
      <c r="O132" s="43"/>
      <c r="P132" s="44"/>
      <c r="Q132" s="23"/>
    </row>
    <row r="133" spans="1:17" ht="33" hidden="1" customHeight="1" x14ac:dyDescent="0.25">
      <c r="A133" s="153"/>
      <c r="B133" s="118"/>
      <c r="C133" s="37"/>
      <c r="D133" s="36"/>
      <c r="E133" s="36"/>
      <c r="F133" s="36"/>
      <c r="G133" s="36"/>
      <c r="H133" s="117"/>
      <c r="I133" s="32"/>
      <c r="J133" s="117"/>
      <c r="K133" s="117"/>
      <c r="L133" s="32"/>
      <c r="M133" s="117"/>
      <c r="N133" s="22"/>
      <c r="O133" s="43"/>
      <c r="P133" s="44"/>
      <c r="Q133" s="23"/>
    </row>
    <row r="134" spans="1:17" ht="33" hidden="1" customHeight="1" x14ac:dyDescent="0.25">
      <c r="A134" s="161"/>
      <c r="B134" s="118"/>
      <c r="C134" s="119"/>
      <c r="D134" s="22"/>
      <c r="E134" s="22"/>
      <c r="F134" s="22"/>
      <c r="G134" s="22"/>
      <c r="H134" s="117"/>
      <c r="I134" s="32"/>
      <c r="J134" s="117"/>
      <c r="K134" s="117"/>
      <c r="L134" s="32"/>
      <c r="M134" s="117"/>
      <c r="N134" s="22"/>
      <c r="O134" s="43"/>
      <c r="P134" s="44"/>
      <c r="Q134" s="23"/>
    </row>
    <row r="135" spans="1:17" ht="33" hidden="1" customHeight="1" x14ac:dyDescent="0.25">
      <c r="A135" s="124"/>
      <c r="B135" s="118"/>
      <c r="C135" s="37"/>
      <c r="D135" s="118"/>
      <c r="E135" s="118"/>
      <c r="F135" s="118"/>
      <c r="G135" s="118"/>
      <c r="H135" s="17"/>
      <c r="I135" s="36"/>
      <c r="J135" s="22"/>
      <c r="K135" s="32"/>
      <c r="L135" s="32"/>
      <c r="M135" s="117"/>
      <c r="N135" s="22"/>
      <c r="O135" s="43"/>
      <c r="P135" s="44"/>
      <c r="Q135" s="23"/>
    </row>
    <row r="136" spans="1:17" ht="35.25" hidden="1" customHeight="1" x14ac:dyDescent="0.25">
      <c r="A136" s="125"/>
      <c r="B136" s="118"/>
      <c r="C136" s="119"/>
      <c r="D136" s="22"/>
      <c r="E136" s="22"/>
      <c r="F136" s="22"/>
      <c r="G136" s="22"/>
      <c r="H136" s="17"/>
      <c r="I136" s="117"/>
      <c r="J136" s="22"/>
      <c r="K136" s="32"/>
      <c r="L136" s="32"/>
      <c r="M136" s="117"/>
      <c r="N136" s="22"/>
      <c r="O136" s="43"/>
      <c r="P136" s="44"/>
      <c r="Q136" s="23"/>
    </row>
    <row r="137" spans="1:17" ht="21.75" hidden="1" customHeight="1" x14ac:dyDescent="0.25">
      <c r="A137" s="124"/>
      <c r="B137" s="118"/>
      <c r="C137" s="37"/>
      <c r="D137" s="118"/>
      <c r="E137" s="118"/>
      <c r="F137" s="118"/>
      <c r="G137" s="118"/>
      <c r="H137" s="17"/>
      <c r="I137" s="36"/>
      <c r="J137" s="22"/>
      <c r="K137" s="117"/>
      <c r="L137" s="32"/>
      <c r="M137" s="22"/>
      <c r="N137" s="22"/>
      <c r="O137" s="43"/>
      <c r="P137" s="44"/>
      <c r="Q137" s="23"/>
    </row>
    <row r="138" spans="1:17" ht="48" hidden="1" customHeight="1" x14ac:dyDescent="0.25">
      <c r="A138" s="125"/>
      <c r="B138" s="118"/>
      <c r="C138" s="119"/>
      <c r="D138" s="22"/>
      <c r="E138" s="22"/>
      <c r="F138" s="22"/>
      <c r="G138" s="22"/>
      <c r="H138" s="17"/>
      <c r="I138" s="117"/>
      <c r="J138" s="22"/>
      <c r="K138" s="117"/>
      <c r="L138" s="32"/>
      <c r="M138" s="22"/>
      <c r="N138" s="22"/>
      <c r="O138" s="46"/>
      <c r="P138" s="44"/>
      <c r="Q138" s="23"/>
    </row>
    <row r="139" spans="1:17" ht="38.25" customHeight="1" x14ac:dyDescent="0.25">
      <c r="A139" s="124" t="s">
        <v>176</v>
      </c>
      <c r="B139" s="118" t="s">
        <v>5</v>
      </c>
      <c r="C139" s="37" t="s">
        <v>22</v>
      </c>
      <c r="D139" s="21"/>
      <c r="E139" s="118">
        <v>10</v>
      </c>
      <c r="F139" s="17"/>
      <c r="G139" s="17">
        <v>10</v>
      </c>
      <c r="H139" s="17">
        <v>10</v>
      </c>
      <c r="I139" s="117">
        <v>10</v>
      </c>
      <c r="J139" s="22"/>
      <c r="K139" s="117"/>
      <c r="L139" s="32"/>
      <c r="M139" s="22"/>
      <c r="N139" s="22">
        <f t="shared" ref="N139:N144" si="27">D139+E139+F139+G139+H139+I139+J139+K139+L139+M139</f>
        <v>40</v>
      </c>
      <c r="O139" s="46"/>
      <c r="P139" s="44"/>
      <c r="Q139" s="23"/>
    </row>
    <row r="140" spans="1:17" ht="45.75" customHeight="1" x14ac:dyDescent="0.25">
      <c r="A140" s="125"/>
      <c r="B140" s="118" t="s">
        <v>9</v>
      </c>
      <c r="C140" s="119" t="s">
        <v>10</v>
      </c>
      <c r="D140" s="22"/>
      <c r="E140" s="22">
        <v>3086.5</v>
      </c>
      <c r="F140" s="117"/>
      <c r="G140" s="117">
        <v>3500</v>
      </c>
      <c r="H140" s="123">
        <v>3710</v>
      </c>
      <c r="I140" s="117">
        <v>3932.6</v>
      </c>
      <c r="J140" s="22"/>
      <c r="K140" s="117"/>
      <c r="L140" s="32"/>
      <c r="M140" s="22"/>
      <c r="N140" s="22">
        <f t="shared" si="27"/>
        <v>14229.1</v>
      </c>
      <c r="O140" s="46"/>
      <c r="P140" s="44"/>
      <c r="Q140" s="23"/>
    </row>
    <row r="141" spans="1:17" ht="47.25" customHeight="1" x14ac:dyDescent="0.25">
      <c r="A141" s="124" t="s">
        <v>140</v>
      </c>
      <c r="B141" s="118" t="s">
        <v>5</v>
      </c>
      <c r="C141" s="37" t="s">
        <v>6</v>
      </c>
      <c r="D141" s="21"/>
      <c r="E141" s="118"/>
      <c r="F141" s="17"/>
      <c r="G141" s="17"/>
      <c r="H141" s="117">
        <v>0.43</v>
      </c>
      <c r="I141" s="117"/>
      <c r="J141" s="22"/>
      <c r="K141" s="117"/>
      <c r="L141" s="32"/>
      <c r="M141" s="22"/>
      <c r="N141" s="22">
        <f t="shared" si="27"/>
        <v>0.43</v>
      </c>
      <c r="O141" s="114"/>
      <c r="P141" s="44"/>
      <c r="Q141" s="23"/>
    </row>
    <row r="142" spans="1:17" ht="37.5" customHeight="1" x14ac:dyDescent="0.25">
      <c r="A142" s="125"/>
      <c r="B142" s="118" t="s">
        <v>9</v>
      </c>
      <c r="C142" s="119" t="s">
        <v>10</v>
      </c>
      <c r="D142" s="71"/>
      <c r="E142" s="118"/>
      <c r="F142" s="17"/>
      <c r="G142" s="17"/>
      <c r="H142" s="17" t="s">
        <v>56</v>
      </c>
      <c r="I142" s="117"/>
      <c r="J142" s="22"/>
      <c r="K142" s="117"/>
      <c r="L142" s="32"/>
      <c r="M142" s="22"/>
      <c r="N142" s="22">
        <v>0</v>
      </c>
      <c r="O142" s="114"/>
      <c r="P142" s="44"/>
      <c r="Q142" s="23"/>
    </row>
    <row r="143" spans="1:17" ht="26.25" customHeight="1" x14ac:dyDescent="0.25">
      <c r="A143" s="124" t="s">
        <v>196</v>
      </c>
      <c r="B143" s="118" t="s">
        <v>5</v>
      </c>
      <c r="C143" s="37" t="s">
        <v>93</v>
      </c>
      <c r="D143" s="71"/>
      <c r="E143" s="118"/>
      <c r="F143" s="17"/>
      <c r="G143" s="17"/>
      <c r="H143" s="17">
        <v>0.3</v>
      </c>
      <c r="I143" s="117"/>
      <c r="J143" s="22"/>
      <c r="K143" s="117"/>
      <c r="L143" s="32"/>
      <c r="M143" s="22"/>
      <c r="N143" s="22">
        <f t="shared" si="27"/>
        <v>0.3</v>
      </c>
      <c r="O143" s="114"/>
      <c r="P143" s="44"/>
      <c r="Q143" s="23"/>
    </row>
    <row r="144" spans="1:17" ht="26.25" customHeight="1" x14ac:dyDescent="0.25">
      <c r="A144" s="125"/>
      <c r="B144" s="118" t="s">
        <v>9</v>
      </c>
      <c r="C144" s="119" t="s">
        <v>10</v>
      </c>
      <c r="D144" s="71"/>
      <c r="E144" s="17"/>
      <c r="F144" s="17"/>
      <c r="G144" s="17"/>
      <c r="H144" s="117">
        <f>16671.96</f>
        <v>16671.96</v>
      </c>
      <c r="I144" s="117"/>
      <c r="J144" s="22"/>
      <c r="K144" s="117"/>
      <c r="L144" s="32"/>
      <c r="M144" s="22"/>
      <c r="N144" s="22">
        <f t="shared" si="27"/>
        <v>16671.96</v>
      </c>
      <c r="O144" s="114"/>
      <c r="P144" s="44"/>
      <c r="Q144" s="23"/>
    </row>
    <row r="145" spans="1:17" ht="33" customHeight="1" x14ac:dyDescent="0.25">
      <c r="A145" s="124" t="s">
        <v>197</v>
      </c>
      <c r="B145" s="118" t="s">
        <v>5</v>
      </c>
      <c r="C145" s="37" t="s">
        <v>93</v>
      </c>
      <c r="D145" s="71"/>
      <c r="E145" s="118"/>
      <c r="F145" s="117"/>
      <c r="G145" s="117"/>
      <c r="H145" s="117"/>
      <c r="I145" s="117">
        <v>1</v>
      </c>
      <c r="J145" s="22"/>
      <c r="K145" s="117"/>
      <c r="L145" s="32"/>
      <c r="M145" s="22"/>
      <c r="N145" s="22">
        <f t="shared" si="26"/>
        <v>1</v>
      </c>
      <c r="O145" s="114"/>
      <c r="P145" s="44"/>
      <c r="Q145" s="23"/>
    </row>
    <row r="146" spans="1:17" ht="24.75" customHeight="1" x14ac:dyDescent="0.25">
      <c r="A146" s="125"/>
      <c r="B146" s="118" t="s">
        <v>9</v>
      </c>
      <c r="C146" s="119" t="s">
        <v>10</v>
      </c>
      <c r="D146" s="71"/>
      <c r="E146" s="17"/>
      <c r="F146" s="17"/>
      <c r="G146" s="17"/>
      <c r="H146" s="17"/>
      <c r="I146" s="17" t="s">
        <v>56</v>
      </c>
      <c r="J146" s="22"/>
      <c r="K146" s="117"/>
      <c r="L146" s="32"/>
      <c r="M146" s="22"/>
      <c r="N146" s="22">
        <v>0</v>
      </c>
      <c r="O146" s="114"/>
      <c r="P146" s="66"/>
      <c r="Q146" s="23"/>
    </row>
    <row r="147" spans="1:17" ht="24.75" hidden="1" customHeight="1" x14ac:dyDescent="0.25">
      <c r="A147" s="126"/>
      <c r="B147" s="118"/>
      <c r="C147" s="37"/>
      <c r="D147" s="61"/>
      <c r="E147" s="88"/>
      <c r="F147" s="88"/>
      <c r="G147" s="61"/>
      <c r="H147" s="61"/>
      <c r="I147" s="88"/>
      <c r="J147" s="88"/>
      <c r="K147" s="88"/>
      <c r="L147" s="88"/>
      <c r="M147" s="88"/>
      <c r="N147" s="22"/>
      <c r="O147" s="114"/>
      <c r="P147" s="112"/>
      <c r="Q147" s="23"/>
    </row>
    <row r="148" spans="1:17" ht="54" hidden="1" customHeight="1" x14ac:dyDescent="0.25">
      <c r="A148" s="127"/>
      <c r="B148" s="118"/>
      <c r="C148" s="119"/>
      <c r="D148" s="61"/>
      <c r="E148" s="88"/>
      <c r="F148" s="88"/>
      <c r="G148" s="61"/>
      <c r="H148" s="17"/>
      <c r="I148" s="88"/>
      <c r="J148" s="88"/>
      <c r="K148" s="88"/>
      <c r="L148" s="88"/>
      <c r="M148" s="88"/>
      <c r="N148" s="22"/>
      <c r="O148" s="114"/>
      <c r="P148" s="112"/>
      <c r="Q148" s="23"/>
    </row>
    <row r="149" spans="1:17" ht="24.75" customHeight="1" x14ac:dyDescent="0.25">
      <c r="A149" s="126" t="s">
        <v>190</v>
      </c>
      <c r="B149" s="118" t="s">
        <v>5</v>
      </c>
      <c r="C149" s="37" t="s">
        <v>93</v>
      </c>
      <c r="D149" s="61"/>
      <c r="E149" s="88"/>
      <c r="F149" s="88"/>
      <c r="G149" s="61"/>
      <c r="H149" s="68"/>
      <c r="I149" s="88"/>
      <c r="J149" s="68">
        <v>1.25</v>
      </c>
      <c r="K149" s="88"/>
      <c r="L149" s="88"/>
      <c r="M149" s="88"/>
      <c r="N149" s="22">
        <f t="shared" si="26"/>
        <v>1.25</v>
      </c>
      <c r="O149" s="114"/>
      <c r="P149" s="112"/>
      <c r="Q149" s="23"/>
    </row>
    <row r="150" spans="1:17" ht="54.75" customHeight="1" x14ac:dyDescent="0.25">
      <c r="A150" s="127"/>
      <c r="B150" s="118" t="s">
        <v>9</v>
      </c>
      <c r="C150" s="119" t="s">
        <v>10</v>
      </c>
      <c r="D150" s="61"/>
      <c r="E150" s="88"/>
      <c r="F150" s="88"/>
      <c r="G150" s="61"/>
      <c r="H150" s="17"/>
      <c r="I150" s="88"/>
      <c r="J150" s="17" t="s">
        <v>56</v>
      </c>
      <c r="K150" s="88"/>
      <c r="L150" s="88"/>
      <c r="M150" s="88"/>
      <c r="N150" s="22">
        <v>0</v>
      </c>
      <c r="O150" s="114"/>
      <c r="P150" s="112"/>
      <c r="Q150" s="23"/>
    </row>
    <row r="151" spans="1:17" ht="24.75" customHeight="1" x14ac:dyDescent="0.25">
      <c r="A151" s="126" t="s">
        <v>191</v>
      </c>
      <c r="B151" s="118" t="s">
        <v>5</v>
      </c>
      <c r="C151" s="37" t="s">
        <v>93</v>
      </c>
      <c r="D151" s="61"/>
      <c r="E151" s="88"/>
      <c r="F151" s="88"/>
      <c r="G151" s="61"/>
      <c r="H151" s="68"/>
      <c r="I151" s="61">
        <v>0.1</v>
      </c>
      <c r="J151" s="88"/>
      <c r="K151" s="88"/>
      <c r="L151" s="88"/>
      <c r="M151" s="88"/>
      <c r="N151" s="22">
        <f t="shared" si="26"/>
        <v>0.1</v>
      </c>
      <c r="O151" s="114"/>
      <c r="P151" s="112"/>
      <c r="Q151" s="23"/>
    </row>
    <row r="152" spans="1:17" ht="57" customHeight="1" x14ac:dyDescent="0.25">
      <c r="A152" s="127"/>
      <c r="B152" s="118" t="s">
        <v>9</v>
      </c>
      <c r="C152" s="119" t="s">
        <v>10</v>
      </c>
      <c r="D152" s="61"/>
      <c r="E152" s="88"/>
      <c r="F152" s="88"/>
      <c r="G152" s="61"/>
      <c r="H152" s="17"/>
      <c r="I152" s="17" t="s">
        <v>56</v>
      </c>
      <c r="J152" s="88"/>
      <c r="K152" s="88"/>
      <c r="L152" s="88"/>
      <c r="M152" s="88"/>
      <c r="N152" s="22">
        <v>0</v>
      </c>
      <c r="O152" s="114"/>
      <c r="P152" s="112"/>
      <c r="Q152" s="23"/>
    </row>
    <row r="153" spans="1:17" ht="24.75" customHeight="1" x14ac:dyDescent="0.25">
      <c r="A153" s="126" t="s">
        <v>192</v>
      </c>
      <c r="B153" s="118" t="s">
        <v>5</v>
      </c>
      <c r="C153" s="37" t="s">
        <v>93</v>
      </c>
      <c r="D153" s="89"/>
      <c r="E153" s="90"/>
      <c r="F153" s="90"/>
      <c r="G153" s="89"/>
      <c r="H153" s="95"/>
      <c r="I153" s="95">
        <v>0.33</v>
      </c>
      <c r="J153" s="90"/>
      <c r="K153" s="90"/>
      <c r="L153" s="90"/>
      <c r="M153" s="90"/>
      <c r="N153" s="22">
        <f t="shared" si="26"/>
        <v>0.33</v>
      </c>
      <c r="O153" s="114"/>
      <c r="P153" s="112"/>
      <c r="Q153" s="23"/>
    </row>
    <row r="154" spans="1:17" ht="45.75" customHeight="1" x14ac:dyDescent="0.25">
      <c r="A154" s="127"/>
      <c r="B154" s="118" t="s">
        <v>9</v>
      </c>
      <c r="C154" s="119" t="s">
        <v>10</v>
      </c>
      <c r="D154" s="89"/>
      <c r="E154" s="90"/>
      <c r="F154" s="90"/>
      <c r="G154" s="89"/>
      <c r="H154" s="17"/>
      <c r="I154" s="17" t="s">
        <v>56</v>
      </c>
      <c r="J154" s="90"/>
      <c r="K154" s="90"/>
      <c r="L154" s="90"/>
      <c r="M154" s="90"/>
      <c r="N154" s="22">
        <v>0</v>
      </c>
      <c r="O154" s="114"/>
      <c r="P154" s="112"/>
      <c r="Q154" s="23"/>
    </row>
    <row r="155" spans="1:17" ht="66" customHeight="1" x14ac:dyDescent="0.25">
      <c r="A155" s="126" t="s">
        <v>193</v>
      </c>
      <c r="B155" s="118" t="s">
        <v>5</v>
      </c>
      <c r="C155" s="37" t="s">
        <v>93</v>
      </c>
      <c r="D155" s="89"/>
      <c r="E155" s="90"/>
      <c r="F155" s="90"/>
      <c r="G155" s="89"/>
      <c r="H155" s="17">
        <v>1.3</v>
      </c>
      <c r="I155" s="17"/>
      <c r="J155" s="90"/>
      <c r="K155" s="90"/>
      <c r="L155" s="90"/>
      <c r="M155" s="90"/>
      <c r="N155" s="22">
        <f t="shared" si="26"/>
        <v>1.3</v>
      </c>
      <c r="O155" s="114"/>
      <c r="P155" s="111"/>
      <c r="Q155" s="23"/>
    </row>
    <row r="156" spans="1:17" ht="99.75" customHeight="1" x14ac:dyDescent="0.25">
      <c r="A156" s="127"/>
      <c r="B156" s="118" t="s">
        <v>9</v>
      </c>
      <c r="C156" s="119" t="s">
        <v>10</v>
      </c>
      <c r="D156" s="89"/>
      <c r="E156" s="90"/>
      <c r="F156" s="90"/>
      <c r="G156" s="89"/>
      <c r="H156" s="17" t="s">
        <v>56</v>
      </c>
      <c r="I156" s="17"/>
      <c r="J156" s="90"/>
      <c r="K156" s="90"/>
      <c r="L156" s="90"/>
      <c r="M156" s="90"/>
      <c r="N156" s="22">
        <v>0</v>
      </c>
      <c r="O156" s="114"/>
      <c r="P156" s="111"/>
      <c r="Q156" s="23"/>
    </row>
    <row r="157" spans="1:17" ht="45.75" customHeight="1" x14ac:dyDescent="0.25">
      <c r="A157" s="124" t="s">
        <v>194</v>
      </c>
      <c r="B157" s="118" t="s">
        <v>5</v>
      </c>
      <c r="C157" s="37" t="s">
        <v>93</v>
      </c>
      <c r="D157" s="71"/>
      <c r="E157" s="118"/>
      <c r="F157" s="117"/>
      <c r="G157" s="117"/>
      <c r="H157" s="117"/>
      <c r="I157" s="117">
        <v>0.2</v>
      </c>
      <c r="J157" s="22"/>
      <c r="K157" s="117"/>
      <c r="L157" s="32"/>
      <c r="M157" s="22"/>
      <c r="N157" s="22">
        <f t="shared" ref="N157" si="28">D157+E157+F157+G157+H157+I157+J157+K157+L157+M157</f>
        <v>0.2</v>
      </c>
      <c r="O157" s="114"/>
      <c r="P157" s="44"/>
      <c r="Q157" s="23"/>
    </row>
    <row r="158" spans="1:17" ht="29.25" customHeight="1" x14ac:dyDescent="0.25">
      <c r="A158" s="125"/>
      <c r="B158" s="118" t="s">
        <v>9</v>
      </c>
      <c r="C158" s="119" t="s">
        <v>10</v>
      </c>
      <c r="D158" s="71"/>
      <c r="E158" s="17"/>
      <c r="F158" s="17"/>
      <c r="G158" s="17"/>
      <c r="H158" s="17"/>
      <c r="I158" s="17" t="s">
        <v>56</v>
      </c>
      <c r="J158" s="22"/>
      <c r="K158" s="117"/>
      <c r="L158" s="32"/>
      <c r="M158" s="22"/>
      <c r="N158" s="22">
        <v>0</v>
      </c>
      <c r="O158" s="114"/>
      <c r="P158" s="66"/>
      <c r="Q158" s="23"/>
    </row>
    <row r="159" spans="1:17" ht="45.75" customHeight="1" x14ac:dyDescent="0.25">
      <c r="A159" s="124" t="s">
        <v>195</v>
      </c>
      <c r="B159" s="118" t="s">
        <v>5</v>
      </c>
      <c r="C159" s="37" t="s">
        <v>93</v>
      </c>
      <c r="D159" s="71"/>
      <c r="E159" s="118"/>
      <c r="F159" s="117"/>
      <c r="G159" s="117"/>
      <c r="H159" s="117"/>
      <c r="I159" s="117">
        <v>0.5</v>
      </c>
      <c r="J159" s="22"/>
      <c r="K159" s="117"/>
      <c r="L159" s="32"/>
      <c r="M159" s="22"/>
      <c r="N159" s="22">
        <f t="shared" ref="N159" si="29">D159+E159+F159+G159+H159+I159+J159+K159+L159+M159</f>
        <v>0.5</v>
      </c>
      <c r="O159" s="114"/>
      <c r="P159" s="44"/>
      <c r="Q159" s="23"/>
    </row>
    <row r="160" spans="1:17" ht="37.5" customHeight="1" x14ac:dyDescent="0.25">
      <c r="A160" s="125"/>
      <c r="B160" s="118" t="s">
        <v>9</v>
      </c>
      <c r="C160" s="119" t="s">
        <v>10</v>
      </c>
      <c r="D160" s="71"/>
      <c r="E160" s="17"/>
      <c r="F160" s="17"/>
      <c r="G160" s="17"/>
      <c r="H160" s="17"/>
      <c r="I160" s="17" t="s">
        <v>56</v>
      </c>
      <c r="J160" s="22"/>
      <c r="K160" s="117"/>
      <c r="L160" s="32"/>
      <c r="M160" s="22"/>
      <c r="N160" s="22">
        <v>0</v>
      </c>
      <c r="O160" s="114"/>
      <c r="P160" s="66"/>
      <c r="Q160" s="23"/>
    </row>
    <row r="161" spans="1:18" ht="22.5" customHeight="1" x14ac:dyDescent="0.25">
      <c r="A161" s="155" t="s">
        <v>50</v>
      </c>
      <c r="B161" s="25" t="s">
        <v>27</v>
      </c>
      <c r="C161" s="34" t="s">
        <v>10</v>
      </c>
      <c r="D161" s="25">
        <f>D162+D163+D164+D165</f>
        <v>41244.199999999997</v>
      </c>
      <c r="E161" s="25">
        <f t="shared" ref="E161:J161" si="30">E162+E163+E164+E165</f>
        <v>3677.6</v>
      </c>
      <c r="F161" s="25">
        <f t="shared" si="30"/>
        <v>1728.9</v>
      </c>
      <c r="G161" s="25">
        <f t="shared" si="30"/>
        <v>180127.99</v>
      </c>
      <c r="H161" s="25">
        <f t="shared" si="30"/>
        <v>212627.59999999998</v>
      </c>
      <c r="I161" s="25">
        <f t="shared" si="30"/>
        <v>3932.6</v>
      </c>
      <c r="J161" s="25">
        <f t="shared" si="30"/>
        <v>0</v>
      </c>
      <c r="K161" s="25">
        <f>K162+K163+K164+K165</f>
        <v>10000</v>
      </c>
      <c r="L161" s="96">
        <f>L162+L163+L164+L165</f>
        <v>0</v>
      </c>
      <c r="M161" s="96">
        <f>M162+M163+M164+M165</f>
        <v>0</v>
      </c>
      <c r="N161" s="25">
        <f>N162+N163+N164+N165</f>
        <v>453338.89</v>
      </c>
      <c r="O161" s="27"/>
      <c r="P161" s="28"/>
      <c r="Q161" s="23"/>
    </row>
    <row r="162" spans="1:18" ht="33" customHeight="1" x14ac:dyDescent="0.25">
      <c r="A162" s="156"/>
      <c r="B162" s="33" t="s">
        <v>16</v>
      </c>
      <c r="C162" s="34" t="s">
        <v>10</v>
      </c>
      <c r="D162" s="96">
        <f t="shared" ref="D162:K165" si="31">D46+D105</f>
        <v>0</v>
      </c>
      <c r="E162" s="96">
        <f t="shared" si="31"/>
        <v>0</v>
      </c>
      <c r="F162" s="96">
        <f t="shared" si="31"/>
        <v>0</v>
      </c>
      <c r="G162" s="96">
        <f t="shared" si="31"/>
        <v>0</v>
      </c>
      <c r="H162" s="96">
        <f t="shared" si="31"/>
        <v>0</v>
      </c>
      <c r="I162" s="96">
        <f t="shared" si="31"/>
        <v>0</v>
      </c>
      <c r="J162" s="96">
        <f t="shared" si="31"/>
        <v>0</v>
      </c>
      <c r="K162" s="96">
        <f t="shared" si="31"/>
        <v>0</v>
      </c>
      <c r="L162" s="96">
        <v>0</v>
      </c>
      <c r="M162" s="96">
        <v>0</v>
      </c>
      <c r="N162" s="96">
        <f>D162+E162+F162+G162+H162+I162+J162+K162+L162</f>
        <v>0</v>
      </c>
      <c r="O162" s="117"/>
      <c r="P162" s="35"/>
      <c r="Q162" s="23"/>
    </row>
    <row r="163" spans="1:18" ht="28.5" customHeight="1" x14ac:dyDescent="0.25">
      <c r="A163" s="156"/>
      <c r="B163" s="33" t="s">
        <v>12</v>
      </c>
      <c r="C163" s="34" t="s">
        <v>10</v>
      </c>
      <c r="D163" s="25">
        <f t="shared" si="31"/>
        <v>39144.1</v>
      </c>
      <c r="E163" s="96">
        <f t="shared" si="31"/>
        <v>541.1</v>
      </c>
      <c r="F163" s="96">
        <f t="shared" si="31"/>
        <v>0</v>
      </c>
      <c r="G163" s="25">
        <f t="shared" si="31"/>
        <v>162345.11049999998</v>
      </c>
      <c r="H163" s="25">
        <f t="shared" si="31"/>
        <v>176343.08499999999</v>
      </c>
      <c r="I163" s="25">
        <f t="shared" si="31"/>
        <v>0</v>
      </c>
      <c r="J163" s="96">
        <f t="shared" si="31"/>
        <v>0</v>
      </c>
      <c r="K163" s="25">
        <f t="shared" si="31"/>
        <v>9500</v>
      </c>
      <c r="L163" s="96">
        <f t="shared" ref="L163:M165" si="32">L47+L106</f>
        <v>0</v>
      </c>
      <c r="M163" s="96">
        <f t="shared" si="32"/>
        <v>0</v>
      </c>
      <c r="N163" s="25">
        <f>D163+E163+F163+G163+H163+I163+J163+K163+L163+M163</f>
        <v>387873.39549999998</v>
      </c>
      <c r="O163" s="117"/>
      <c r="P163" s="35"/>
      <c r="Q163" s="23"/>
    </row>
    <row r="164" spans="1:18" ht="24.75" customHeight="1" x14ac:dyDescent="0.25">
      <c r="A164" s="156"/>
      <c r="B164" s="33" t="s">
        <v>8</v>
      </c>
      <c r="C164" s="34" t="s">
        <v>10</v>
      </c>
      <c r="D164" s="25">
        <f t="shared" si="31"/>
        <v>2100.1</v>
      </c>
      <c r="E164" s="25">
        <f t="shared" si="31"/>
        <v>3136.5</v>
      </c>
      <c r="F164" s="25">
        <f t="shared" si="31"/>
        <v>1728.9</v>
      </c>
      <c r="G164" s="25">
        <f t="shared" si="31"/>
        <v>17782.879500000003</v>
      </c>
      <c r="H164" s="25">
        <f t="shared" si="31"/>
        <v>36284.514999999999</v>
      </c>
      <c r="I164" s="25">
        <f t="shared" si="31"/>
        <v>3932.6</v>
      </c>
      <c r="J164" s="96">
        <f t="shared" si="31"/>
        <v>0</v>
      </c>
      <c r="K164" s="96">
        <f t="shared" si="31"/>
        <v>500</v>
      </c>
      <c r="L164" s="96">
        <f t="shared" si="32"/>
        <v>0</v>
      </c>
      <c r="M164" s="96">
        <f t="shared" si="32"/>
        <v>0</v>
      </c>
      <c r="N164" s="25">
        <f>D164+E164+F164+G164+H164+I164+J164+K164+L164+M164</f>
        <v>65465.494500000001</v>
      </c>
      <c r="O164" s="41"/>
      <c r="P164" s="42"/>
      <c r="Q164" s="23"/>
    </row>
    <row r="165" spans="1:18" ht="30" customHeight="1" x14ac:dyDescent="0.25">
      <c r="A165" s="146"/>
      <c r="B165" s="33" t="s">
        <v>17</v>
      </c>
      <c r="C165" s="34" t="s">
        <v>10</v>
      </c>
      <c r="D165" s="96">
        <f t="shared" si="31"/>
        <v>0</v>
      </c>
      <c r="E165" s="96">
        <f t="shared" si="31"/>
        <v>0</v>
      </c>
      <c r="F165" s="96">
        <f t="shared" si="31"/>
        <v>0</v>
      </c>
      <c r="G165" s="96">
        <f t="shared" si="31"/>
        <v>0</v>
      </c>
      <c r="H165" s="25">
        <f t="shared" si="31"/>
        <v>0</v>
      </c>
      <c r="I165" s="25">
        <f t="shared" si="31"/>
        <v>0</v>
      </c>
      <c r="J165" s="96">
        <f t="shared" si="31"/>
        <v>0</v>
      </c>
      <c r="K165" s="96">
        <f t="shared" si="31"/>
        <v>0</v>
      </c>
      <c r="L165" s="96">
        <f t="shared" si="32"/>
        <v>0</v>
      </c>
      <c r="M165" s="96">
        <f t="shared" si="32"/>
        <v>0</v>
      </c>
      <c r="N165" s="25">
        <f>D165+E165+F165+G165+H165+I165+J165+K165+L165+M165</f>
        <v>0</v>
      </c>
      <c r="O165" s="41"/>
      <c r="P165" s="42"/>
      <c r="Q165" s="23"/>
    </row>
    <row r="166" spans="1:18" ht="22.5" customHeight="1" x14ac:dyDescent="0.25">
      <c r="A166" s="158" t="s">
        <v>21</v>
      </c>
      <c r="B166" s="159"/>
      <c r="C166" s="159"/>
      <c r="D166" s="159"/>
      <c r="E166" s="159"/>
      <c r="F166" s="159"/>
      <c r="G166" s="159"/>
      <c r="H166" s="159"/>
      <c r="I166" s="159"/>
      <c r="J166" s="159"/>
      <c r="K166" s="159"/>
      <c r="L166" s="159"/>
      <c r="M166" s="159"/>
      <c r="N166" s="159"/>
      <c r="O166" s="159"/>
      <c r="P166" s="160"/>
      <c r="Q166" s="23"/>
    </row>
    <row r="167" spans="1:18" ht="21.75" customHeight="1" x14ac:dyDescent="0.25">
      <c r="A167" s="158" t="s">
        <v>43</v>
      </c>
      <c r="B167" s="159"/>
      <c r="C167" s="159"/>
      <c r="D167" s="159"/>
      <c r="E167" s="159"/>
      <c r="F167" s="159"/>
      <c r="G167" s="159"/>
      <c r="H167" s="159"/>
      <c r="I167" s="159"/>
      <c r="J167" s="159"/>
      <c r="K167" s="159"/>
      <c r="L167" s="159"/>
      <c r="M167" s="159"/>
      <c r="N167" s="159"/>
      <c r="O167" s="159"/>
      <c r="P167" s="160"/>
      <c r="Q167" s="23"/>
    </row>
    <row r="168" spans="1:18" ht="24" customHeight="1" x14ac:dyDescent="0.25">
      <c r="A168" s="154" t="s">
        <v>13</v>
      </c>
      <c r="B168" s="73" t="s">
        <v>5</v>
      </c>
      <c r="C168" s="74" t="s">
        <v>24</v>
      </c>
      <c r="D168" s="84">
        <f>D175+D177+D179+L181+D183+D185+D187+D189+D191+D193+D195+D197+D199+D201+D203+D205</f>
        <v>0</v>
      </c>
      <c r="E168" s="84">
        <f t="shared" ref="E168" si="33">E175+E177+E179+M181+E183+E185+E187+E189+E191+E193+E195+E197+E199+E201+E203+E205</f>
        <v>0</v>
      </c>
      <c r="F168" s="84">
        <f>F193+F195</f>
        <v>2</v>
      </c>
      <c r="G168" s="84">
        <f>G175+G177+G179+G181+G183+G185+G187+G189+G191+G193+G195+G197+G199+G201+G203+G205</f>
        <v>1</v>
      </c>
      <c r="H168" s="84">
        <f t="shared" ref="H168" si="34">H175+H177+H179+P181+H183+H185+H187+H189+H191+H193+H195+H197+H199+H201+H203+H205</f>
        <v>2</v>
      </c>
      <c r="I168" s="84">
        <f t="shared" ref="I168" si="35">I175+I177+I179+Q181+I183+I185+I187+I189+I191+I193+I195+I197+I199+I201+I203+I205</f>
        <v>4</v>
      </c>
      <c r="J168" s="84">
        <f t="shared" ref="J168" si="36">J175+J177+J179+R181+J183+J185+J187+J189+J191+J193+J195+J197+J199+J201+J203+J205</f>
        <v>1</v>
      </c>
      <c r="K168" s="84">
        <f t="shared" ref="K168" si="37">K175+K177+K179+S181+K183+K185+K187+K189+K191+K193+K195+K197+K199+K201+K203+K205</f>
        <v>1</v>
      </c>
      <c r="L168" s="84">
        <f t="shared" ref="L168" si="38">L175+L177+L179+T181+L183+L185+L187+L189+L191+L193+L195+L197+L199+L201+L203+L205</f>
        <v>1</v>
      </c>
      <c r="M168" s="84">
        <f t="shared" ref="M168" si="39">M175+M177+M179+U181+M183+M185+M187+M189+M191+M193+M195+M197+M199+M201+M203+M205</f>
        <v>1</v>
      </c>
      <c r="N168" s="84">
        <f>D168+E168+F168+G168+H168+I168+J168+K168+L168+M168</f>
        <v>13</v>
      </c>
      <c r="O168" s="43"/>
      <c r="P168" s="44"/>
      <c r="Q168" s="23"/>
    </row>
    <row r="169" spans="1:18" ht="33" customHeight="1" x14ac:dyDescent="0.25">
      <c r="A169" s="150"/>
      <c r="B169" s="118" t="s">
        <v>15</v>
      </c>
      <c r="C169" s="39" t="s">
        <v>10</v>
      </c>
      <c r="D169" s="21">
        <v>0</v>
      </c>
      <c r="E169" s="21">
        <v>0</v>
      </c>
      <c r="F169" s="22">
        <f t="shared" ref="F169:M169" si="40">F170/F168</f>
        <v>14099.75</v>
      </c>
      <c r="G169" s="22">
        <f t="shared" si="40"/>
        <v>8343.1</v>
      </c>
      <c r="H169" s="22">
        <f t="shared" si="40"/>
        <v>3693.1</v>
      </c>
      <c r="I169" s="22">
        <f t="shared" si="40"/>
        <v>5811.875</v>
      </c>
      <c r="J169" s="22">
        <f t="shared" si="40"/>
        <v>5000</v>
      </c>
      <c r="K169" s="22">
        <f t="shared" si="40"/>
        <v>6000</v>
      </c>
      <c r="L169" s="22">
        <f t="shared" si="40"/>
        <v>6000</v>
      </c>
      <c r="M169" s="22">
        <f t="shared" si="40"/>
        <v>6000</v>
      </c>
      <c r="N169" s="22">
        <f>N170/N168</f>
        <v>6936.6384615384604</v>
      </c>
      <c r="O169" s="43"/>
      <c r="P169" s="44"/>
      <c r="Q169" s="23"/>
    </row>
    <row r="170" spans="1:18" ht="36.75" customHeight="1" x14ac:dyDescent="0.25">
      <c r="A170" s="150"/>
      <c r="B170" s="118" t="s">
        <v>7</v>
      </c>
      <c r="C170" s="39" t="s">
        <v>10</v>
      </c>
      <c r="D170" s="21">
        <f>D176+D178+D180+D182+D184+D186+D188+D190+D192+D194+D196+D198+D200+D202+D204+D206</f>
        <v>0</v>
      </c>
      <c r="E170" s="21">
        <f t="shared" ref="E170:M170" si="41">E176+E178+E180+E182+E184+E186+E188+E190+E192+E194+E196+E198+E200+E202+E204+E206</f>
        <v>0</v>
      </c>
      <c r="F170" s="22">
        <f t="shared" si="41"/>
        <v>28199.5</v>
      </c>
      <c r="G170" s="22">
        <f t="shared" si="41"/>
        <v>8343.1</v>
      </c>
      <c r="H170" s="22">
        <f t="shared" si="41"/>
        <v>7386.2</v>
      </c>
      <c r="I170" s="22">
        <f t="shared" si="41"/>
        <v>23247.5</v>
      </c>
      <c r="J170" s="22">
        <f t="shared" si="41"/>
        <v>5000</v>
      </c>
      <c r="K170" s="22">
        <f t="shared" si="41"/>
        <v>6000</v>
      </c>
      <c r="L170" s="22">
        <f t="shared" si="41"/>
        <v>6000</v>
      </c>
      <c r="M170" s="22">
        <f t="shared" si="41"/>
        <v>6000</v>
      </c>
      <c r="N170" s="22">
        <f>D170+E170+F170+G170+H170+I170+J170+K170+L170+M170</f>
        <v>90176.299999999988</v>
      </c>
      <c r="O170" s="43"/>
      <c r="P170" s="44"/>
      <c r="Q170" s="23">
        <f>N176+N178+N180+N182+N184+N186+N188+N190+N192+N194+N196+N198+N200+N202+N204+N206</f>
        <v>90176.3</v>
      </c>
      <c r="R170" s="29"/>
    </row>
    <row r="171" spans="1:18" ht="32.25" customHeight="1" x14ac:dyDescent="0.25">
      <c r="A171" s="150"/>
      <c r="B171" s="118" t="s">
        <v>16</v>
      </c>
      <c r="C171" s="39" t="s">
        <v>10</v>
      </c>
      <c r="D171" s="21">
        <v>0</v>
      </c>
      <c r="E171" s="21">
        <v>0</v>
      </c>
      <c r="F171" s="21">
        <v>0</v>
      </c>
      <c r="G171" s="21">
        <v>0</v>
      </c>
      <c r="H171" s="21">
        <v>0</v>
      </c>
      <c r="I171" s="21">
        <v>0</v>
      </c>
      <c r="J171" s="21">
        <v>0</v>
      </c>
      <c r="K171" s="21">
        <v>0</v>
      </c>
      <c r="L171" s="21">
        <v>0</v>
      </c>
      <c r="M171" s="21">
        <v>0</v>
      </c>
      <c r="N171" s="21">
        <f>D171+E171+F171+G171+H171+I171+J171+K171+L171+M171</f>
        <v>0</v>
      </c>
      <c r="O171" s="43"/>
      <c r="P171" s="44"/>
      <c r="Q171" s="23"/>
    </row>
    <row r="172" spans="1:18" ht="34.5" customHeight="1" x14ac:dyDescent="0.25">
      <c r="A172" s="150"/>
      <c r="B172" s="118" t="s">
        <v>12</v>
      </c>
      <c r="C172" s="39" t="s">
        <v>10</v>
      </c>
      <c r="D172" s="21">
        <f t="shared" ref="D172:E172" si="42">D170*95.6%</f>
        <v>0</v>
      </c>
      <c r="E172" s="21">
        <f t="shared" si="42"/>
        <v>0</v>
      </c>
      <c r="F172" s="21">
        <v>0</v>
      </c>
      <c r="G172" s="22">
        <f>G170*95%</f>
        <v>7925.9449999999997</v>
      </c>
      <c r="H172" s="22">
        <f>(H176+H178+H180+H184+H182+H186+H188+H190+H192+H194+H196)*95%</f>
        <v>7016.8899999999994</v>
      </c>
      <c r="I172" s="22">
        <f>(I176+I178+I180+I184+I182+I186+I188+I190+I192+I194+I196)*95%</f>
        <v>22085.125</v>
      </c>
      <c r="J172" s="22">
        <f>(J176+J178+J180+J184+J182+J186+J188+J190+J192+J194+J196)*95%</f>
        <v>4750</v>
      </c>
      <c r="K172" s="22">
        <f>K198*95%</f>
        <v>5700</v>
      </c>
      <c r="L172" s="22">
        <f>L200*95%</f>
        <v>5700</v>
      </c>
      <c r="M172" s="22">
        <f>M202*95%</f>
        <v>5700</v>
      </c>
      <c r="N172" s="22">
        <f>D172+E172+F172+G172+H172+I172+J172+K172+L172+M172</f>
        <v>58877.96</v>
      </c>
      <c r="O172" s="43"/>
      <c r="P172" s="44"/>
      <c r="Q172" s="23"/>
    </row>
    <row r="173" spans="1:18" ht="36.75" customHeight="1" x14ac:dyDescent="0.25">
      <c r="A173" s="150"/>
      <c r="B173" s="118" t="s">
        <v>8</v>
      </c>
      <c r="C173" s="39" t="s">
        <v>10</v>
      </c>
      <c r="D173" s="21">
        <f>D170-D172</f>
        <v>0</v>
      </c>
      <c r="E173" s="21">
        <f t="shared" ref="E173:M173" si="43">E170-E172</f>
        <v>0</v>
      </c>
      <c r="F173" s="22">
        <f>F194+F196</f>
        <v>28199.5</v>
      </c>
      <c r="G173" s="22">
        <f t="shared" si="43"/>
        <v>417.15500000000065</v>
      </c>
      <c r="H173" s="22">
        <f t="shared" si="43"/>
        <v>369.3100000000004</v>
      </c>
      <c r="I173" s="22">
        <f t="shared" si="43"/>
        <v>1162.375</v>
      </c>
      <c r="J173" s="22">
        <f t="shared" si="43"/>
        <v>250</v>
      </c>
      <c r="K173" s="22">
        <f t="shared" si="43"/>
        <v>300</v>
      </c>
      <c r="L173" s="22">
        <f t="shared" si="43"/>
        <v>300</v>
      </c>
      <c r="M173" s="22">
        <f t="shared" si="43"/>
        <v>300</v>
      </c>
      <c r="N173" s="22">
        <f>D173+E173+F173+G173+H173+I173+J173+K173+L173+M173</f>
        <v>31298.34</v>
      </c>
      <c r="O173" s="43"/>
      <c r="P173" s="44"/>
      <c r="Q173" s="23"/>
    </row>
    <row r="174" spans="1:18" ht="29.25" customHeight="1" x14ac:dyDescent="0.25">
      <c r="A174" s="150"/>
      <c r="B174" s="118" t="s">
        <v>17</v>
      </c>
      <c r="C174" s="39" t="s">
        <v>10</v>
      </c>
      <c r="D174" s="21">
        <v>0</v>
      </c>
      <c r="E174" s="21">
        <v>0</v>
      </c>
      <c r="F174" s="21">
        <v>0</v>
      </c>
      <c r="G174" s="21">
        <v>0</v>
      </c>
      <c r="H174" s="21">
        <v>0</v>
      </c>
      <c r="I174" s="21">
        <v>0</v>
      </c>
      <c r="J174" s="21">
        <v>0</v>
      </c>
      <c r="K174" s="21">
        <v>0</v>
      </c>
      <c r="L174" s="21">
        <v>0</v>
      </c>
      <c r="M174" s="21">
        <v>0</v>
      </c>
      <c r="N174" s="21">
        <f>D174+E174+F174+G174+H174+I174+J174+K174+L174+M174</f>
        <v>0</v>
      </c>
      <c r="O174" s="43"/>
      <c r="P174" s="44"/>
      <c r="Q174" s="23"/>
    </row>
    <row r="175" spans="1:18" ht="32.25" customHeight="1" x14ac:dyDescent="0.25">
      <c r="A175" s="148" t="s">
        <v>63</v>
      </c>
      <c r="B175" s="22" t="s">
        <v>5</v>
      </c>
      <c r="C175" s="40" t="s">
        <v>22</v>
      </c>
      <c r="D175" s="21"/>
      <c r="E175" s="22"/>
      <c r="F175" s="22"/>
      <c r="G175" s="117"/>
      <c r="H175" s="117"/>
      <c r="I175" s="117">
        <v>1</v>
      </c>
      <c r="J175" s="117"/>
      <c r="K175" s="117"/>
      <c r="L175" s="36"/>
      <c r="M175" s="36"/>
      <c r="N175" s="21">
        <f t="shared" ref="N175:N182" si="44">D175+E175+F175+G175+H175+I175+J175+K175+L175+M175</f>
        <v>1</v>
      </c>
      <c r="O175" s="135" t="s">
        <v>55</v>
      </c>
      <c r="P175" s="138" t="s">
        <v>53</v>
      </c>
      <c r="Q175" s="30"/>
    </row>
    <row r="176" spans="1:18" ht="93.75" customHeight="1" x14ac:dyDescent="0.25">
      <c r="A176" s="149"/>
      <c r="B176" s="22" t="s">
        <v>9</v>
      </c>
      <c r="C176" s="39" t="s">
        <v>10</v>
      </c>
      <c r="D176" s="22"/>
      <c r="E176" s="22"/>
      <c r="F176" s="22"/>
      <c r="G176" s="117"/>
      <c r="H176" s="117"/>
      <c r="I176" s="117">
        <v>7247.5</v>
      </c>
      <c r="J176" s="117"/>
      <c r="K176" s="117"/>
      <c r="L176" s="117"/>
      <c r="M176" s="117"/>
      <c r="N176" s="22">
        <f t="shared" si="44"/>
        <v>7247.5</v>
      </c>
      <c r="O176" s="137"/>
      <c r="P176" s="140"/>
      <c r="Q176" s="30"/>
    </row>
    <row r="177" spans="1:17" ht="0.75" hidden="1" customHeight="1" x14ac:dyDescent="0.25">
      <c r="A177" s="148"/>
      <c r="B177" s="22"/>
      <c r="C177" s="40"/>
      <c r="D177" s="21"/>
      <c r="E177" s="22"/>
      <c r="F177" s="22"/>
      <c r="G177" s="117"/>
      <c r="H177" s="117"/>
      <c r="I177" s="117"/>
      <c r="J177" s="117"/>
      <c r="K177" s="117"/>
      <c r="L177" s="36"/>
      <c r="M177" s="36"/>
      <c r="N177" s="21"/>
      <c r="O177" s="135" t="s">
        <v>55</v>
      </c>
      <c r="P177" s="138" t="s">
        <v>53</v>
      </c>
      <c r="Q177" s="30" t="s">
        <v>177</v>
      </c>
    </row>
    <row r="178" spans="1:17" ht="0.75" hidden="1" customHeight="1" x14ac:dyDescent="0.25">
      <c r="A178" s="149"/>
      <c r="B178" s="22"/>
      <c r="C178" s="39"/>
      <c r="D178" s="22"/>
      <c r="E178" s="22"/>
      <c r="F178" s="22"/>
      <c r="G178" s="117"/>
      <c r="H178" s="117"/>
      <c r="I178" s="117"/>
      <c r="J178" s="117"/>
      <c r="K178" s="117"/>
      <c r="L178" s="117"/>
      <c r="M178" s="117"/>
      <c r="N178" s="22"/>
      <c r="O178" s="136"/>
      <c r="P178" s="139"/>
      <c r="Q178" s="30"/>
    </row>
    <row r="179" spans="1:17" ht="53.25" customHeight="1" x14ac:dyDescent="0.25">
      <c r="A179" s="148" t="s">
        <v>178</v>
      </c>
      <c r="B179" s="22" t="s">
        <v>5</v>
      </c>
      <c r="C179" s="40" t="s">
        <v>22</v>
      </c>
      <c r="D179" s="21"/>
      <c r="E179" s="22"/>
      <c r="F179" s="22"/>
      <c r="G179" s="117"/>
      <c r="H179" s="117">
        <v>1</v>
      </c>
      <c r="I179" s="117"/>
      <c r="J179" s="117"/>
      <c r="K179" s="117"/>
      <c r="L179" s="117"/>
      <c r="M179" s="117"/>
      <c r="N179" s="21">
        <f t="shared" si="44"/>
        <v>1</v>
      </c>
      <c r="O179" s="136"/>
      <c r="P179" s="139"/>
      <c r="Q179" s="30"/>
    </row>
    <row r="180" spans="1:17" ht="31.5" customHeight="1" x14ac:dyDescent="0.25">
      <c r="A180" s="149"/>
      <c r="B180" s="22" t="s">
        <v>9</v>
      </c>
      <c r="C180" s="39" t="s">
        <v>10</v>
      </c>
      <c r="D180" s="22"/>
      <c r="E180" s="22"/>
      <c r="F180" s="22"/>
      <c r="G180" s="117"/>
      <c r="H180" s="117">
        <v>3786.2</v>
      </c>
      <c r="I180" s="117"/>
      <c r="J180" s="117"/>
      <c r="K180" s="117"/>
      <c r="L180" s="117"/>
      <c r="M180" s="117"/>
      <c r="N180" s="22">
        <f t="shared" si="44"/>
        <v>3786.2</v>
      </c>
      <c r="O180" s="136"/>
      <c r="P180" s="139"/>
      <c r="Q180" s="30"/>
    </row>
    <row r="181" spans="1:17" ht="41.25" customHeight="1" x14ac:dyDescent="0.25">
      <c r="A181" s="148" t="s">
        <v>179</v>
      </c>
      <c r="B181" s="22" t="s">
        <v>5</v>
      </c>
      <c r="C181" s="40" t="s">
        <v>22</v>
      </c>
      <c r="D181" s="22"/>
      <c r="E181" s="21"/>
      <c r="F181" s="21"/>
      <c r="G181" s="117">
        <v>1</v>
      </c>
      <c r="H181" s="117"/>
      <c r="I181" s="117"/>
      <c r="J181" s="117"/>
      <c r="K181" s="117"/>
      <c r="L181" s="36"/>
      <c r="M181" s="36"/>
      <c r="N181" s="21">
        <f t="shared" si="44"/>
        <v>1</v>
      </c>
      <c r="O181" s="136"/>
      <c r="P181" s="139"/>
      <c r="Q181" s="30"/>
    </row>
    <row r="182" spans="1:17" ht="54" customHeight="1" x14ac:dyDescent="0.25">
      <c r="A182" s="149"/>
      <c r="B182" s="22" t="s">
        <v>9</v>
      </c>
      <c r="C182" s="39" t="s">
        <v>10</v>
      </c>
      <c r="D182" s="22"/>
      <c r="E182" s="22"/>
      <c r="F182" s="22"/>
      <c r="G182" s="117">
        <v>8343.1</v>
      </c>
      <c r="H182" s="117"/>
      <c r="I182" s="117"/>
      <c r="J182" s="117"/>
      <c r="K182" s="117"/>
      <c r="L182" s="117"/>
      <c r="M182" s="117"/>
      <c r="N182" s="22">
        <f t="shared" si="44"/>
        <v>8343.1</v>
      </c>
      <c r="O182" s="136"/>
      <c r="P182" s="139"/>
      <c r="Q182" s="30"/>
    </row>
    <row r="183" spans="1:17" ht="42.75" customHeight="1" x14ac:dyDescent="0.25">
      <c r="A183" s="148" t="s">
        <v>180</v>
      </c>
      <c r="B183" s="22" t="s">
        <v>5</v>
      </c>
      <c r="C183" s="40" t="s">
        <v>22</v>
      </c>
      <c r="D183" s="22"/>
      <c r="E183" s="21"/>
      <c r="F183" s="21"/>
      <c r="G183" s="117"/>
      <c r="H183" s="117">
        <v>1</v>
      </c>
      <c r="I183" s="117"/>
      <c r="J183" s="117"/>
      <c r="K183" s="117"/>
      <c r="L183" s="36"/>
      <c r="M183" s="36"/>
      <c r="N183" s="21">
        <f t="shared" ref="N183:N190" si="45">D183+E183+F183+G183+H183+I183+J183+K183+L183+M183</f>
        <v>1</v>
      </c>
      <c r="O183" s="136"/>
      <c r="P183" s="139"/>
      <c r="Q183" s="23"/>
    </row>
    <row r="184" spans="1:17" ht="87" customHeight="1" x14ac:dyDescent="0.25">
      <c r="A184" s="149"/>
      <c r="B184" s="22" t="s">
        <v>9</v>
      </c>
      <c r="C184" s="39" t="s">
        <v>10</v>
      </c>
      <c r="D184" s="22"/>
      <c r="E184" s="22"/>
      <c r="F184" s="22"/>
      <c r="G184" s="117"/>
      <c r="H184" s="117">
        <v>3600</v>
      </c>
      <c r="I184" s="117"/>
      <c r="J184" s="117"/>
      <c r="K184" s="117"/>
      <c r="L184" s="117"/>
      <c r="M184" s="117"/>
      <c r="N184" s="22">
        <f t="shared" si="45"/>
        <v>3600</v>
      </c>
      <c r="O184" s="136"/>
      <c r="P184" s="139"/>
      <c r="Q184" s="23"/>
    </row>
    <row r="185" spans="1:17" ht="20.25" customHeight="1" x14ac:dyDescent="0.25">
      <c r="A185" s="198" t="s">
        <v>181</v>
      </c>
      <c r="B185" s="22" t="s">
        <v>5</v>
      </c>
      <c r="C185" s="39" t="s">
        <v>22</v>
      </c>
      <c r="D185" s="22"/>
      <c r="E185" s="21"/>
      <c r="F185" s="21"/>
      <c r="G185" s="22"/>
      <c r="H185" s="22"/>
      <c r="I185" s="22"/>
      <c r="J185" s="22">
        <v>1</v>
      </c>
      <c r="K185" s="22"/>
      <c r="L185" s="22"/>
      <c r="M185" s="22"/>
      <c r="N185" s="21">
        <f t="shared" si="45"/>
        <v>1</v>
      </c>
      <c r="O185" s="136"/>
      <c r="P185" s="139"/>
      <c r="Q185" s="23"/>
    </row>
    <row r="186" spans="1:17" ht="69" customHeight="1" x14ac:dyDescent="0.25">
      <c r="A186" s="199"/>
      <c r="B186" s="22" t="s">
        <v>9</v>
      </c>
      <c r="C186" s="39" t="s">
        <v>10</v>
      </c>
      <c r="D186" s="22"/>
      <c r="E186" s="22"/>
      <c r="F186" s="22"/>
      <c r="G186" s="22"/>
      <c r="H186" s="22"/>
      <c r="I186" s="22"/>
      <c r="J186" s="22">
        <v>5000</v>
      </c>
      <c r="K186" s="22"/>
      <c r="L186" s="22"/>
      <c r="M186" s="22"/>
      <c r="N186" s="22">
        <f t="shared" si="45"/>
        <v>5000</v>
      </c>
      <c r="O186" s="136"/>
      <c r="P186" s="139"/>
      <c r="Q186" s="23"/>
    </row>
    <row r="187" spans="1:17" ht="33" customHeight="1" x14ac:dyDescent="0.25">
      <c r="A187" s="148" t="s">
        <v>182</v>
      </c>
      <c r="B187" s="22" t="s">
        <v>5</v>
      </c>
      <c r="C187" s="40" t="s">
        <v>22</v>
      </c>
      <c r="D187" s="22"/>
      <c r="E187" s="22"/>
      <c r="F187" s="32"/>
      <c r="G187" s="117"/>
      <c r="H187" s="117"/>
      <c r="I187" s="117">
        <v>1</v>
      </c>
      <c r="J187" s="117"/>
      <c r="K187" s="117"/>
      <c r="L187" s="36"/>
      <c r="M187" s="36"/>
      <c r="N187" s="21">
        <f t="shared" si="45"/>
        <v>1</v>
      </c>
      <c r="O187" s="136"/>
      <c r="P187" s="139"/>
      <c r="Q187" s="23"/>
    </row>
    <row r="188" spans="1:17" ht="66" customHeight="1" x14ac:dyDescent="0.25">
      <c r="A188" s="149"/>
      <c r="B188" s="22" t="s">
        <v>9</v>
      </c>
      <c r="C188" s="39" t="s">
        <v>10</v>
      </c>
      <c r="D188" s="22"/>
      <c r="E188" s="22"/>
      <c r="F188" s="60"/>
      <c r="G188" s="117"/>
      <c r="H188" s="117"/>
      <c r="I188" s="117">
        <v>6000</v>
      </c>
      <c r="J188" s="117"/>
      <c r="K188" s="117"/>
      <c r="L188" s="117"/>
      <c r="M188" s="117"/>
      <c r="N188" s="22">
        <f t="shared" si="45"/>
        <v>6000</v>
      </c>
      <c r="O188" s="136"/>
      <c r="P188" s="139"/>
      <c r="Q188" s="23"/>
    </row>
    <row r="189" spans="1:17" ht="43.5" customHeight="1" x14ac:dyDescent="0.25">
      <c r="A189" s="148" t="s">
        <v>185</v>
      </c>
      <c r="B189" s="22" t="s">
        <v>5</v>
      </c>
      <c r="C189" s="40" t="s">
        <v>22</v>
      </c>
      <c r="D189" s="22"/>
      <c r="E189" s="22"/>
      <c r="F189" s="32"/>
      <c r="G189" s="36"/>
      <c r="H189" s="36"/>
      <c r="I189" s="36">
        <v>1</v>
      </c>
      <c r="J189" s="117"/>
      <c r="K189" s="117"/>
      <c r="L189" s="36"/>
      <c r="M189" s="36"/>
      <c r="N189" s="21">
        <f t="shared" si="45"/>
        <v>1</v>
      </c>
      <c r="O189" s="136"/>
      <c r="P189" s="139"/>
      <c r="Q189" s="23"/>
    </row>
    <row r="190" spans="1:17" ht="26.25" customHeight="1" x14ac:dyDescent="0.25">
      <c r="A190" s="149"/>
      <c r="B190" s="22" t="s">
        <v>9</v>
      </c>
      <c r="C190" s="39" t="s">
        <v>10</v>
      </c>
      <c r="D190" s="22"/>
      <c r="E190" s="22"/>
      <c r="F190" s="32"/>
      <c r="G190" s="117"/>
      <c r="H190" s="117"/>
      <c r="I190" s="117">
        <v>5000</v>
      </c>
      <c r="J190" s="117"/>
      <c r="K190" s="117"/>
      <c r="L190" s="117"/>
      <c r="M190" s="117"/>
      <c r="N190" s="22">
        <f t="shared" si="45"/>
        <v>5000</v>
      </c>
      <c r="O190" s="136"/>
      <c r="P190" s="139"/>
      <c r="Q190" s="23"/>
    </row>
    <row r="191" spans="1:17" ht="31.5" customHeight="1" x14ac:dyDescent="0.25">
      <c r="A191" s="148" t="s">
        <v>183</v>
      </c>
      <c r="B191" s="22" t="s">
        <v>5</v>
      </c>
      <c r="C191" s="40" t="s">
        <v>22</v>
      </c>
      <c r="D191" s="59"/>
      <c r="E191" s="59"/>
      <c r="F191" s="59"/>
      <c r="G191" s="92"/>
      <c r="H191" s="61"/>
      <c r="I191" s="61">
        <v>1</v>
      </c>
      <c r="J191" s="59"/>
      <c r="K191" s="59"/>
      <c r="L191" s="59"/>
      <c r="M191" s="59"/>
      <c r="N191" s="21">
        <f>D187+E187+F187+G187+H187+I187+J187+K187+L187+M187</f>
        <v>1</v>
      </c>
      <c r="O191" s="136"/>
      <c r="P191" s="139"/>
      <c r="Q191" s="23"/>
    </row>
    <row r="192" spans="1:17" ht="38.25" customHeight="1" x14ac:dyDescent="0.25">
      <c r="A192" s="149"/>
      <c r="B192" s="22" t="s">
        <v>9</v>
      </c>
      <c r="C192" s="39" t="s">
        <v>10</v>
      </c>
      <c r="D192" s="59"/>
      <c r="E192" s="59"/>
      <c r="F192" s="59"/>
      <c r="G192" s="92"/>
      <c r="H192" s="68"/>
      <c r="I192" s="68">
        <v>5000</v>
      </c>
      <c r="J192" s="59"/>
      <c r="K192" s="59"/>
      <c r="L192" s="59"/>
      <c r="M192" s="59"/>
      <c r="N192" s="22">
        <f>D192+E192+F192+G192+H192+I192+J192+K192+L192+M192</f>
        <v>5000</v>
      </c>
      <c r="O192" s="43"/>
      <c r="P192" s="44"/>
      <c r="Q192" s="23"/>
    </row>
    <row r="193" spans="1:17" ht="34.5" customHeight="1" x14ac:dyDescent="0.25">
      <c r="A193" s="148" t="s">
        <v>184</v>
      </c>
      <c r="B193" s="22" t="s">
        <v>5</v>
      </c>
      <c r="C193" s="40" t="s">
        <v>22</v>
      </c>
      <c r="D193" s="22"/>
      <c r="E193" s="22"/>
      <c r="F193" s="32">
        <v>1</v>
      </c>
      <c r="G193" s="117"/>
      <c r="H193" s="117"/>
      <c r="I193" s="36"/>
      <c r="J193" s="117"/>
      <c r="K193" s="117"/>
      <c r="L193" s="117"/>
      <c r="M193" s="36"/>
      <c r="N193" s="21">
        <f>D193+E193+F193+G193+H193+I193+J193+K193+L193+M193</f>
        <v>1</v>
      </c>
      <c r="O193" s="43"/>
      <c r="P193" s="44"/>
      <c r="Q193" s="23"/>
    </row>
    <row r="194" spans="1:17" ht="52.5" customHeight="1" x14ac:dyDescent="0.25">
      <c r="A194" s="149"/>
      <c r="B194" s="22" t="s">
        <v>9</v>
      </c>
      <c r="C194" s="39" t="s">
        <v>10</v>
      </c>
      <c r="D194" s="22"/>
      <c r="E194" s="22"/>
      <c r="F194" s="60">
        <v>14299.5</v>
      </c>
      <c r="G194" s="117"/>
      <c r="H194" s="117"/>
      <c r="I194" s="117"/>
      <c r="J194" s="117"/>
      <c r="K194" s="117"/>
      <c r="L194" s="117"/>
      <c r="M194" s="117"/>
      <c r="N194" s="22">
        <f>D194+E194+F194+G194+H194+I194+J194+K194+L194+M194</f>
        <v>14299.5</v>
      </c>
      <c r="O194" s="43"/>
      <c r="P194" s="44"/>
      <c r="Q194" s="23"/>
    </row>
    <row r="195" spans="1:17" ht="42" customHeight="1" x14ac:dyDescent="0.25">
      <c r="A195" s="148" t="s">
        <v>186</v>
      </c>
      <c r="B195" s="22" t="s">
        <v>5</v>
      </c>
      <c r="C195" s="40" t="s">
        <v>22</v>
      </c>
      <c r="D195" s="22"/>
      <c r="E195" s="22"/>
      <c r="F195" s="32">
        <v>1</v>
      </c>
      <c r="G195" s="117"/>
      <c r="H195" s="117"/>
      <c r="I195" s="117"/>
      <c r="J195" s="117"/>
      <c r="K195" s="117"/>
      <c r="L195" s="36"/>
      <c r="M195" s="36"/>
      <c r="N195" s="21">
        <f>D195+E195+F195+G195+H195+I195+J195+K195+L195+M195</f>
        <v>1</v>
      </c>
      <c r="O195" s="43"/>
      <c r="P195" s="44"/>
      <c r="Q195" s="23"/>
    </row>
    <row r="196" spans="1:17" ht="38.25" customHeight="1" x14ac:dyDescent="0.25">
      <c r="A196" s="149"/>
      <c r="B196" s="22" t="s">
        <v>9</v>
      </c>
      <c r="C196" s="39" t="s">
        <v>10</v>
      </c>
      <c r="D196" s="22"/>
      <c r="E196" s="22"/>
      <c r="F196" s="60">
        <v>13900</v>
      </c>
      <c r="G196" s="117"/>
      <c r="H196" s="117"/>
      <c r="I196" s="117"/>
      <c r="J196" s="117"/>
      <c r="K196" s="117"/>
      <c r="L196" s="117"/>
      <c r="M196" s="117"/>
      <c r="N196" s="22">
        <f>D196+E196+F196+G196+H196+I196+J196+K196+L196+M196</f>
        <v>13900</v>
      </c>
      <c r="O196" s="43"/>
      <c r="P196" s="44"/>
      <c r="Q196" s="23"/>
    </row>
    <row r="197" spans="1:17" ht="34.5" customHeight="1" x14ac:dyDescent="0.25">
      <c r="A197" s="148" t="s">
        <v>187</v>
      </c>
      <c r="B197" s="22" t="s">
        <v>5</v>
      </c>
      <c r="C197" s="40" t="s">
        <v>22</v>
      </c>
      <c r="D197" s="22"/>
      <c r="E197" s="22"/>
      <c r="F197" s="32"/>
      <c r="G197" s="117"/>
      <c r="H197" s="117"/>
      <c r="I197" s="117"/>
      <c r="J197" s="36"/>
      <c r="K197" s="117">
        <v>1</v>
      </c>
      <c r="L197" s="36"/>
      <c r="M197" s="36"/>
      <c r="N197" s="22">
        <f t="shared" ref="N197:N202" si="46">D197+E197+F197+G197+H197+I197+J197+K197+L197+M197</f>
        <v>1</v>
      </c>
      <c r="O197" s="43"/>
      <c r="P197" s="44"/>
      <c r="Q197" s="23"/>
    </row>
    <row r="198" spans="1:17" ht="48" customHeight="1" x14ac:dyDescent="0.25">
      <c r="A198" s="149"/>
      <c r="B198" s="22" t="s">
        <v>9</v>
      </c>
      <c r="C198" s="39" t="s">
        <v>10</v>
      </c>
      <c r="D198" s="22"/>
      <c r="E198" s="22"/>
      <c r="F198" s="32"/>
      <c r="G198" s="117"/>
      <c r="H198" s="117"/>
      <c r="I198" s="117"/>
      <c r="J198" s="117"/>
      <c r="K198" s="117">
        <v>6000</v>
      </c>
      <c r="L198" s="117"/>
      <c r="M198" s="117"/>
      <c r="N198" s="22">
        <f t="shared" si="46"/>
        <v>6000</v>
      </c>
      <c r="O198" s="43"/>
      <c r="P198" s="44"/>
      <c r="Q198" s="23"/>
    </row>
    <row r="199" spans="1:17" ht="40.5" customHeight="1" x14ac:dyDescent="0.25">
      <c r="A199" s="148" t="s">
        <v>188</v>
      </c>
      <c r="B199" s="22" t="s">
        <v>5</v>
      </c>
      <c r="C199" s="40" t="s">
        <v>22</v>
      </c>
      <c r="D199" s="22"/>
      <c r="E199" s="22"/>
      <c r="F199" s="32"/>
      <c r="G199" s="117"/>
      <c r="H199" s="117"/>
      <c r="I199" s="117"/>
      <c r="J199" s="117"/>
      <c r="K199" s="36"/>
      <c r="L199" s="117">
        <v>1</v>
      </c>
      <c r="M199" s="117"/>
      <c r="N199" s="22">
        <f t="shared" si="46"/>
        <v>1</v>
      </c>
      <c r="O199" s="43"/>
      <c r="P199" s="44"/>
      <c r="Q199" s="23"/>
    </row>
    <row r="200" spans="1:17" ht="49.5" customHeight="1" x14ac:dyDescent="0.25">
      <c r="A200" s="168"/>
      <c r="B200" s="22" t="s">
        <v>9</v>
      </c>
      <c r="C200" s="39" t="s">
        <v>10</v>
      </c>
      <c r="D200" s="55"/>
      <c r="E200" s="55"/>
      <c r="F200" s="62"/>
      <c r="G200" s="113"/>
      <c r="H200" s="113"/>
      <c r="I200" s="113"/>
      <c r="J200" s="113"/>
      <c r="K200" s="113"/>
      <c r="L200" s="113">
        <v>6000</v>
      </c>
      <c r="M200" s="113"/>
      <c r="N200" s="22">
        <f t="shared" si="46"/>
        <v>6000</v>
      </c>
      <c r="O200" s="43"/>
      <c r="P200" s="44"/>
      <c r="Q200" s="23"/>
    </row>
    <row r="201" spans="1:17" ht="34.5" customHeight="1" x14ac:dyDescent="0.25">
      <c r="A201" s="169" t="s">
        <v>189</v>
      </c>
      <c r="B201" s="22" t="s">
        <v>5</v>
      </c>
      <c r="C201" s="40" t="s">
        <v>22</v>
      </c>
      <c r="D201" s="63"/>
      <c r="E201" s="63"/>
      <c r="F201" s="63"/>
      <c r="G201" s="63"/>
      <c r="H201" s="63"/>
      <c r="I201" s="63"/>
      <c r="J201" s="63"/>
      <c r="K201" s="32"/>
      <c r="L201" s="32"/>
      <c r="M201" s="63">
        <v>1</v>
      </c>
      <c r="N201" s="22">
        <f t="shared" si="46"/>
        <v>1</v>
      </c>
      <c r="O201" s="43"/>
      <c r="P201" s="44"/>
      <c r="Q201" s="23"/>
    </row>
    <row r="202" spans="1:17" ht="35.25" customHeight="1" x14ac:dyDescent="0.25">
      <c r="A202" s="169"/>
      <c r="B202" s="22" t="s">
        <v>9</v>
      </c>
      <c r="C202" s="39" t="s">
        <v>10</v>
      </c>
      <c r="D202" s="63"/>
      <c r="E202" s="63"/>
      <c r="F202" s="63"/>
      <c r="G202" s="63"/>
      <c r="H202" s="63"/>
      <c r="I202" s="63"/>
      <c r="J202" s="63"/>
      <c r="K202" s="60"/>
      <c r="L202" s="60"/>
      <c r="M202" s="63">
        <v>6000</v>
      </c>
      <c r="N202" s="22">
        <f t="shared" si="46"/>
        <v>6000</v>
      </c>
      <c r="O202" s="43"/>
      <c r="P202" s="44"/>
      <c r="Q202" s="23"/>
    </row>
    <row r="203" spans="1:17" ht="0.75" hidden="1" customHeight="1" x14ac:dyDescent="0.25">
      <c r="A203" s="192"/>
      <c r="B203" s="22"/>
      <c r="C203" s="40"/>
      <c r="D203" s="59"/>
      <c r="E203" s="59"/>
      <c r="F203" s="59"/>
      <c r="G203" s="92"/>
      <c r="H203" s="92"/>
      <c r="I203" s="59"/>
      <c r="J203" s="59"/>
      <c r="K203" s="59"/>
      <c r="L203" s="17"/>
      <c r="M203" s="17"/>
      <c r="N203" s="21"/>
      <c r="O203" s="43"/>
      <c r="P203" s="44"/>
      <c r="Q203" s="23"/>
    </row>
    <row r="204" spans="1:17" ht="36.75" hidden="1" customHeight="1" x14ac:dyDescent="0.25">
      <c r="A204" s="193"/>
      <c r="B204" s="22"/>
      <c r="C204" s="39"/>
      <c r="D204" s="59"/>
      <c r="E204" s="59"/>
      <c r="F204" s="59"/>
      <c r="G204" s="92"/>
      <c r="H204" s="92"/>
      <c r="I204" s="59"/>
      <c r="J204" s="59"/>
      <c r="K204" s="59"/>
      <c r="L204" s="117"/>
      <c r="M204" s="117"/>
      <c r="N204" s="22"/>
      <c r="O204" s="43"/>
      <c r="P204" s="44"/>
      <c r="Q204" s="23"/>
    </row>
    <row r="205" spans="1:17" ht="43.5" hidden="1" customHeight="1" x14ac:dyDescent="0.25">
      <c r="A205" s="151"/>
      <c r="B205" s="22"/>
      <c r="C205" s="40"/>
      <c r="D205" s="59"/>
      <c r="E205" s="59"/>
      <c r="F205" s="59"/>
      <c r="G205" s="92"/>
      <c r="H205" s="92"/>
      <c r="I205" s="59"/>
      <c r="J205" s="59"/>
      <c r="K205" s="59"/>
      <c r="L205" s="59"/>
      <c r="M205" s="36"/>
      <c r="N205" s="21"/>
      <c r="O205" s="43"/>
      <c r="P205" s="44"/>
      <c r="Q205" s="23"/>
    </row>
    <row r="206" spans="1:17" ht="41.25" hidden="1" customHeight="1" x14ac:dyDescent="0.25">
      <c r="A206" s="151"/>
      <c r="B206" s="22"/>
      <c r="C206" s="39"/>
      <c r="D206" s="59"/>
      <c r="E206" s="59"/>
      <c r="F206" s="59"/>
      <c r="G206" s="92"/>
      <c r="H206" s="92"/>
      <c r="I206" s="59"/>
      <c r="J206" s="59"/>
      <c r="K206" s="59"/>
      <c r="L206" s="59"/>
      <c r="M206" s="17"/>
      <c r="N206" s="22"/>
      <c r="O206" s="46"/>
      <c r="P206" s="66"/>
      <c r="Q206" s="23"/>
    </row>
    <row r="207" spans="1:17" ht="42" hidden="1" customHeight="1" x14ac:dyDescent="0.25">
      <c r="A207" s="151"/>
      <c r="B207" s="22"/>
      <c r="C207" s="40"/>
      <c r="D207" s="59"/>
      <c r="E207" s="59"/>
      <c r="F207" s="59"/>
      <c r="G207" s="92"/>
      <c r="H207" s="92"/>
      <c r="I207" s="59"/>
      <c r="J207" s="59"/>
      <c r="K207" s="59"/>
      <c r="L207" s="59"/>
      <c r="M207" s="17"/>
      <c r="N207" s="22"/>
      <c r="O207" s="46"/>
      <c r="P207" s="66"/>
      <c r="Q207" s="23"/>
    </row>
    <row r="208" spans="1:17" ht="39.75" hidden="1" customHeight="1" x14ac:dyDescent="0.25">
      <c r="A208" s="151"/>
      <c r="B208" s="22"/>
      <c r="C208" s="39"/>
      <c r="D208" s="59"/>
      <c r="E208" s="59"/>
      <c r="F208" s="59"/>
      <c r="G208" s="92"/>
      <c r="H208" s="92"/>
      <c r="I208" s="59"/>
      <c r="J208" s="59"/>
      <c r="K208" s="59"/>
      <c r="L208" s="59"/>
      <c r="M208" s="17"/>
      <c r="N208" s="22"/>
      <c r="O208" s="46"/>
      <c r="P208" s="66"/>
      <c r="Q208" s="23"/>
    </row>
    <row r="209" spans="1:17" ht="22.5" customHeight="1" x14ac:dyDescent="0.25">
      <c r="A209" s="150" t="s">
        <v>14</v>
      </c>
      <c r="B209" s="118" t="s">
        <v>5</v>
      </c>
      <c r="C209" s="119" t="s">
        <v>6</v>
      </c>
      <c r="D209" s="22">
        <f>D216+D218+D220+D222+D224+D226+D228+D230+D232+D234+D236+D238+D240+D242+D244+D246+D248+D250+D252+D254+D256</f>
        <v>1</v>
      </c>
      <c r="E209" s="22">
        <f>E216+E218+E220+E222+E224+E226+E228+E230+E232+E234+E236+E238+E240+E242+E244+E246+E248+E250+E252+E254+E256+E258</f>
        <v>1</v>
      </c>
      <c r="F209" s="22">
        <f t="shared" ref="F209:M209" si="47">F216+F218+F220+F222+F224+F226+F228+F230+F232+F234+F236+F238+F240+F242+F244+F246+F248+F250+F252+F254</f>
        <v>1.2</v>
      </c>
      <c r="G209" s="22">
        <f t="shared" si="47"/>
        <v>2.2000000000000002</v>
      </c>
      <c r="H209" s="22">
        <f t="shared" si="47"/>
        <v>1.3</v>
      </c>
      <c r="I209" s="22">
        <f t="shared" si="47"/>
        <v>0.5</v>
      </c>
      <c r="J209" s="22">
        <f t="shared" si="47"/>
        <v>3.5</v>
      </c>
      <c r="K209" s="22">
        <f t="shared" si="47"/>
        <v>0</v>
      </c>
      <c r="L209" s="22">
        <f t="shared" si="47"/>
        <v>1</v>
      </c>
      <c r="M209" s="21">
        <f t="shared" si="47"/>
        <v>0</v>
      </c>
      <c r="N209" s="22">
        <f>D209+E209+F209+G209+H209+I209+J209+K209+L209+M209</f>
        <v>11.7</v>
      </c>
      <c r="O209" s="27"/>
      <c r="P209" s="28"/>
      <c r="Q209" s="23"/>
    </row>
    <row r="210" spans="1:17" ht="33.75" customHeight="1" x14ac:dyDescent="0.25">
      <c r="A210" s="150"/>
      <c r="B210" s="118" t="s">
        <v>15</v>
      </c>
      <c r="C210" s="39" t="s">
        <v>10</v>
      </c>
      <c r="D210" s="22">
        <f>D211/D209</f>
        <v>3750.15</v>
      </c>
      <c r="E210" s="22">
        <v>0</v>
      </c>
      <c r="F210" s="22">
        <f t="shared" ref="F210:H210" si="48">F211/F209</f>
        <v>91774.250000000015</v>
      </c>
      <c r="G210" s="22">
        <f t="shared" si="48"/>
        <v>97678.454545454544</v>
      </c>
      <c r="H210" s="21">
        <f t="shared" si="48"/>
        <v>0</v>
      </c>
      <c r="I210" s="21">
        <v>0</v>
      </c>
      <c r="J210" s="21">
        <v>0</v>
      </c>
      <c r="K210" s="21">
        <v>0</v>
      </c>
      <c r="L210" s="21">
        <v>0</v>
      </c>
      <c r="M210" s="21">
        <v>0</v>
      </c>
      <c r="N210" s="22">
        <f>N211/N209</f>
        <v>28432.63675213675</v>
      </c>
      <c r="O210" s="27"/>
      <c r="P210" s="28"/>
      <c r="Q210" s="23"/>
    </row>
    <row r="211" spans="1:17" ht="39" customHeight="1" x14ac:dyDescent="0.25">
      <c r="A211" s="150"/>
      <c r="B211" s="118" t="s">
        <v>7</v>
      </c>
      <c r="C211" s="39" t="s">
        <v>10</v>
      </c>
      <c r="D211" s="22">
        <f>D212+D213+D214+D215</f>
        <v>3750.15</v>
      </c>
      <c r="E211" s="22">
        <f t="shared" ref="E211:M211" si="49">E212+E213+E214+E215</f>
        <v>3890</v>
      </c>
      <c r="F211" s="22">
        <f t="shared" si="49"/>
        <v>110129.1</v>
      </c>
      <c r="G211" s="22">
        <f t="shared" si="49"/>
        <v>214892.6</v>
      </c>
      <c r="H211" s="21">
        <f t="shared" si="49"/>
        <v>0</v>
      </c>
      <c r="I211" s="21">
        <f t="shared" si="49"/>
        <v>0</v>
      </c>
      <c r="J211" s="21">
        <f t="shared" si="49"/>
        <v>0</v>
      </c>
      <c r="K211" s="21">
        <f t="shared" si="49"/>
        <v>0</v>
      </c>
      <c r="L211" s="21">
        <f t="shared" si="49"/>
        <v>0</v>
      </c>
      <c r="M211" s="21">
        <f t="shared" si="49"/>
        <v>0</v>
      </c>
      <c r="N211" s="22">
        <f t="shared" ref="N211:N216" si="50">D211+E211+F211+G211+H211+I211+J211+K211+L211+M211</f>
        <v>332661.84999999998</v>
      </c>
      <c r="O211" s="27"/>
      <c r="P211" s="28"/>
      <c r="Q211" s="23">
        <f>N217+N219+N221+N223+N225+N227+N229+N231+N233+N235+N237+N239+N241+N243+N245+N247+N249+N251+N253+N255+N257+N259+N261+0.1</f>
        <v>332661.84999999998</v>
      </c>
    </row>
    <row r="212" spans="1:17" ht="30.75" customHeight="1" x14ac:dyDescent="0.25">
      <c r="A212" s="150"/>
      <c r="B212" s="118" t="s">
        <v>16</v>
      </c>
      <c r="C212" s="39" t="s">
        <v>10</v>
      </c>
      <c r="D212" s="36">
        <v>0</v>
      </c>
      <c r="E212" s="36">
        <v>0</v>
      </c>
      <c r="F212" s="36">
        <v>0</v>
      </c>
      <c r="G212" s="36">
        <v>0</v>
      </c>
      <c r="H212" s="36">
        <v>0</v>
      </c>
      <c r="I212" s="36">
        <v>0</v>
      </c>
      <c r="J212" s="36">
        <v>0</v>
      </c>
      <c r="K212" s="36">
        <v>0</v>
      </c>
      <c r="L212" s="36">
        <v>0</v>
      </c>
      <c r="M212" s="36">
        <v>0</v>
      </c>
      <c r="N212" s="21">
        <f t="shared" si="50"/>
        <v>0</v>
      </c>
      <c r="O212" s="27"/>
      <c r="P212" s="28"/>
      <c r="Q212" s="23"/>
    </row>
    <row r="213" spans="1:17" ht="33" customHeight="1" x14ac:dyDescent="0.25">
      <c r="A213" s="150"/>
      <c r="B213" s="118" t="s">
        <v>12</v>
      </c>
      <c r="C213" s="39" t="s">
        <v>10</v>
      </c>
      <c r="D213" s="36">
        <v>0</v>
      </c>
      <c r="E213" s="36">
        <f>E217*95.6%+E219*95.6%</f>
        <v>0</v>
      </c>
      <c r="F213" s="117">
        <f>F219*95%+F261*95%</f>
        <v>104622.645</v>
      </c>
      <c r="G213" s="36">
        <f>G219*95%</f>
        <v>200200.05499999999</v>
      </c>
      <c r="H213" s="36">
        <v>0</v>
      </c>
      <c r="I213" s="36">
        <v>0</v>
      </c>
      <c r="J213" s="36">
        <v>0</v>
      </c>
      <c r="K213" s="36">
        <v>0</v>
      </c>
      <c r="L213" s="36">
        <v>0</v>
      </c>
      <c r="M213" s="36">
        <v>0</v>
      </c>
      <c r="N213" s="22">
        <f t="shared" si="50"/>
        <v>304822.7</v>
      </c>
      <c r="O213" s="27"/>
      <c r="P213" s="28"/>
      <c r="Q213" s="23"/>
    </row>
    <row r="214" spans="1:17" ht="30.75" customHeight="1" x14ac:dyDescent="0.25">
      <c r="A214" s="150"/>
      <c r="B214" s="118" t="s">
        <v>8</v>
      </c>
      <c r="C214" s="39" t="s">
        <v>10</v>
      </c>
      <c r="D214" s="117">
        <f>D217</f>
        <v>3750.15</v>
      </c>
      <c r="E214" s="117">
        <f>E217*4.4%+E219*4.4%+E259</f>
        <v>3890</v>
      </c>
      <c r="F214" s="117">
        <f>F219*5%+F261*5%</f>
        <v>5506.4550000000008</v>
      </c>
      <c r="G214" s="117">
        <f>G219*5%+0.1+G259</f>
        <v>14692.545000000002</v>
      </c>
      <c r="H214" s="36">
        <v>0</v>
      </c>
      <c r="I214" s="36">
        <v>0</v>
      </c>
      <c r="J214" s="36">
        <v>0</v>
      </c>
      <c r="K214" s="36">
        <v>0</v>
      </c>
      <c r="L214" s="36">
        <v>0</v>
      </c>
      <c r="M214" s="36">
        <v>0</v>
      </c>
      <c r="N214" s="22">
        <f t="shared" si="50"/>
        <v>27839.15</v>
      </c>
      <c r="O214" s="27"/>
      <c r="P214" s="28"/>
      <c r="Q214" s="23"/>
    </row>
    <row r="215" spans="1:17" ht="24.75" customHeight="1" x14ac:dyDescent="0.25">
      <c r="A215" s="150"/>
      <c r="B215" s="118" t="s">
        <v>17</v>
      </c>
      <c r="C215" s="39" t="s">
        <v>10</v>
      </c>
      <c r="D215" s="36">
        <v>0</v>
      </c>
      <c r="E215" s="36">
        <v>0</v>
      </c>
      <c r="F215" s="36">
        <v>0</v>
      </c>
      <c r="G215" s="36">
        <v>0</v>
      </c>
      <c r="H215" s="36">
        <v>0</v>
      </c>
      <c r="I215" s="36">
        <v>0</v>
      </c>
      <c r="J215" s="36">
        <v>0</v>
      </c>
      <c r="K215" s="36">
        <f>K245</f>
        <v>0</v>
      </c>
      <c r="L215" s="36">
        <f>L245</f>
        <v>0</v>
      </c>
      <c r="M215" s="36">
        <f>M245</f>
        <v>0</v>
      </c>
      <c r="N215" s="21">
        <f t="shared" si="50"/>
        <v>0</v>
      </c>
      <c r="O215" s="27"/>
      <c r="P215" s="28"/>
      <c r="Q215" s="23"/>
    </row>
    <row r="216" spans="1:17" ht="24.75" customHeight="1" x14ac:dyDescent="0.25">
      <c r="A216" s="198" t="s">
        <v>96</v>
      </c>
      <c r="B216" s="22" t="s">
        <v>5</v>
      </c>
      <c r="C216" s="40" t="s">
        <v>22</v>
      </c>
      <c r="D216" s="117">
        <v>1</v>
      </c>
      <c r="E216" s="117"/>
      <c r="F216" s="117"/>
      <c r="G216" s="117">
        <v>1</v>
      </c>
      <c r="H216" s="117"/>
      <c r="I216" s="117"/>
      <c r="J216" s="117"/>
      <c r="K216" s="117"/>
      <c r="L216" s="117"/>
      <c r="M216" s="117"/>
      <c r="N216" s="22">
        <f t="shared" si="50"/>
        <v>2</v>
      </c>
      <c r="O216" s="135" t="s">
        <v>54</v>
      </c>
      <c r="P216" s="138" t="s">
        <v>53</v>
      </c>
      <c r="Q216" s="23"/>
    </row>
    <row r="217" spans="1:17" ht="207.75" customHeight="1" x14ac:dyDescent="0.25">
      <c r="A217" s="199"/>
      <c r="B217" s="22" t="s">
        <v>9</v>
      </c>
      <c r="C217" s="39" t="s">
        <v>10</v>
      </c>
      <c r="D217" s="117">
        <v>3750.15</v>
      </c>
      <c r="E217" s="117"/>
      <c r="F217" s="117"/>
      <c r="G217" s="117" t="s">
        <v>143</v>
      </c>
      <c r="H217" s="117"/>
      <c r="I217" s="117"/>
      <c r="J217" s="117"/>
      <c r="K217" s="117"/>
      <c r="L217" s="117"/>
      <c r="M217" s="117"/>
      <c r="N217" s="22">
        <f>D217</f>
        <v>3750.15</v>
      </c>
      <c r="O217" s="136"/>
      <c r="P217" s="139"/>
      <c r="Q217" s="23"/>
    </row>
    <row r="218" spans="1:17" ht="27" customHeight="1" x14ac:dyDescent="0.25">
      <c r="A218" s="148" t="s">
        <v>70</v>
      </c>
      <c r="B218" s="22" t="s">
        <v>5</v>
      </c>
      <c r="C218" s="40" t="s">
        <v>6</v>
      </c>
      <c r="D218" s="117"/>
      <c r="E218" s="117"/>
      <c r="F218" s="117">
        <v>1.2</v>
      </c>
      <c r="G218" s="117">
        <v>1.2</v>
      </c>
      <c r="H218" s="117"/>
      <c r="I218" s="117"/>
      <c r="J218" s="117"/>
      <c r="K218" s="117"/>
      <c r="L218" s="117"/>
      <c r="M218" s="117"/>
      <c r="N218" s="22">
        <f>D218+E218+F218+G218+H218+I218+J218+K218+L218+M218</f>
        <v>2.4</v>
      </c>
      <c r="O218" s="136"/>
      <c r="P218" s="139"/>
      <c r="Q218" s="23"/>
    </row>
    <row r="219" spans="1:17" ht="71.25" customHeight="1" x14ac:dyDescent="0.25">
      <c r="A219" s="149"/>
      <c r="B219" s="22" t="s">
        <v>9</v>
      </c>
      <c r="C219" s="39" t="s">
        <v>10</v>
      </c>
      <c r="D219" s="117"/>
      <c r="E219" s="117"/>
      <c r="F219" s="117">
        <v>105263.1</v>
      </c>
      <c r="G219" s="117">
        <v>210736.9</v>
      </c>
      <c r="H219" s="117"/>
      <c r="I219" s="117"/>
      <c r="J219" s="117"/>
      <c r="K219" s="117"/>
      <c r="L219" s="117"/>
      <c r="M219" s="117"/>
      <c r="N219" s="22">
        <f>D219+E219+F219+G219+H219+I219+J219+K219+L219+M219</f>
        <v>316000</v>
      </c>
      <c r="O219" s="136"/>
      <c r="P219" s="139"/>
      <c r="Q219" s="23"/>
    </row>
    <row r="220" spans="1:17" ht="31.5" customHeight="1" x14ac:dyDescent="0.25">
      <c r="A220" s="148" t="s">
        <v>64</v>
      </c>
      <c r="B220" s="22" t="s">
        <v>5</v>
      </c>
      <c r="C220" s="40" t="s">
        <v>6</v>
      </c>
      <c r="D220" s="36"/>
      <c r="E220" s="117"/>
      <c r="F220" s="117"/>
      <c r="G220" s="117"/>
      <c r="H220" s="117"/>
      <c r="I220" s="117"/>
      <c r="J220" s="117">
        <v>0.5</v>
      </c>
      <c r="K220" s="117"/>
      <c r="L220" s="117"/>
      <c r="M220" s="117"/>
      <c r="N220" s="22">
        <f>D220+E220+F220+G220+H220+I220+J220+K220+L220+M220</f>
        <v>0.5</v>
      </c>
      <c r="O220" s="136"/>
      <c r="P220" s="139"/>
      <c r="Q220" s="23"/>
    </row>
    <row r="221" spans="1:17" ht="73.5" customHeight="1" x14ac:dyDescent="0.25">
      <c r="A221" s="149"/>
      <c r="B221" s="22" t="s">
        <v>9</v>
      </c>
      <c r="C221" s="39" t="s">
        <v>10</v>
      </c>
      <c r="D221" s="117"/>
      <c r="E221" s="117"/>
      <c r="F221" s="117"/>
      <c r="G221" s="117"/>
      <c r="H221" s="117"/>
      <c r="I221" s="117"/>
      <c r="J221" s="117" t="s">
        <v>56</v>
      </c>
      <c r="K221" s="117"/>
      <c r="L221" s="117"/>
      <c r="M221" s="117"/>
      <c r="N221" s="22">
        <v>0</v>
      </c>
      <c r="O221" s="136"/>
      <c r="P221" s="139"/>
      <c r="Q221" s="23"/>
    </row>
    <row r="222" spans="1:17" ht="25.5" customHeight="1" x14ac:dyDescent="0.25">
      <c r="A222" s="148" t="s">
        <v>65</v>
      </c>
      <c r="B222" s="22" t="s">
        <v>5</v>
      </c>
      <c r="C222" s="40" t="s">
        <v>6</v>
      </c>
      <c r="D222" s="117"/>
      <c r="E222" s="117"/>
      <c r="F222" s="117"/>
      <c r="G222" s="117"/>
      <c r="H222" s="117">
        <v>0.4</v>
      </c>
      <c r="I222" s="117"/>
      <c r="J222" s="117"/>
      <c r="K222" s="117"/>
      <c r="L222" s="32"/>
      <c r="M222" s="117"/>
      <c r="N222" s="22">
        <f>D222+E222+F222+G222+H222+I222+J222+K222+L222+M222</f>
        <v>0.4</v>
      </c>
      <c r="O222" s="136"/>
      <c r="P222" s="139"/>
      <c r="Q222" s="23"/>
    </row>
    <row r="223" spans="1:17" ht="30.75" customHeight="1" x14ac:dyDescent="0.25">
      <c r="A223" s="149"/>
      <c r="B223" s="22" t="s">
        <v>9</v>
      </c>
      <c r="C223" s="39" t="s">
        <v>10</v>
      </c>
      <c r="D223" s="117"/>
      <c r="E223" s="117"/>
      <c r="F223" s="117"/>
      <c r="G223" s="117"/>
      <c r="H223" s="117" t="s">
        <v>56</v>
      </c>
      <c r="I223" s="117"/>
      <c r="J223" s="117"/>
      <c r="K223" s="117"/>
      <c r="L223" s="32"/>
      <c r="M223" s="117"/>
      <c r="N223" s="22">
        <v>0</v>
      </c>
      <c r="O223" s="137"/>
      <c r="P223" s="140"/>
      <c r="Q223" s="23"/>
    </row>
    <row r="224" spans="1:17" ht="29.25" customHeight="1" x14ac:dyDescent="0.25">
      <c r="A224" s="148" t="s">
        <v>66</v>
      </c>
      <c r="B224" s="22" t="s">
        <v>5</v>
      </c>
      <c r="C224" s="40" t="s">
        <v>6</v>
      </c>
      <c r="D224" s="117"/>
      <c r="E224" s="117"/>
      <c r="F224" s="117"/>
      <c r="G224" s="117"/>
      <c r="H224" s="117">
        <v>0.5</v>
      </c>
      <c r="I224" s="117"/>
      <c r="J224" s="117"/>
      <c r="K224" s="117"/>
      <c r="L224" s="32"/>
      <c r="M224" s="117"/>
      <c r="N224" s="22">
        <f>D224+E224+F224+G224+H224+I224+J224+K224+L224+M224</f>
        <v>0.5</v>
      </c>
      <c r="O224" s="135" t="s">
        <v>60</v>
      </c>
      <c r="P224" s="138" t="s">
        <v>53</v>
      </c>
      <c r="Q224" s="23"/>
    </row>
    <row r="225" spans="1:17" ht="30.75" customHeight="1" x14ac:dyDescent="0.25">
      <c r="A225" s="149"/>
      <c r="B225" s="22" t="s">
        <v>9</v>
      </c>
      <c r="C225" s="39" t="s">
        <v>10</v>
      </c>
      <c r="D225" s="117"/>
      <c r="E225" s="117"/>
      <c r="F225" s="117"/>
      <c r="G225" s="117"/>
      <c r="H225" s="117" t="s">
        <v>56</v>
      </c>
      <c r="I225" s="117"/>
      <c r="J225" s="117"/>
      <c r="K225" s="117"/>
      <c r="L225" s="32"/>
      <c r="M225" s="117"/>
      <c r="N225" s="22">
        <v>0</v>
      </c>
      <c r="O225" s="136"/>
      <c r="P225" s="139"/>
      <c r="Q225" s="23"/>
    </row>
    <row r="226" spans="1:17" ht="30.75" customHeight="1" x14ac:dyDescent="0.25">
      <c r="A226" s="148" t="s">
        <v>67</v>
      </c>
      <c r="B226" s="22" t="s">
        <v>5</v>
      </c>
      <c r="C226" s="40" t="s">
        <v>6</v>
      </c>
      <c r="D226" s="117"/>
      <c r="E226" s="117"/>
      <c r="F226" s="117"/>
      <c r="G226" s="117"/>
      <c r="H226" s="117">
        <v>0.4</v>
      </c>
      <c r="I226" s="117"/>
      <c r="J226" s="117"/>
      <c r="K226" s="32"/>
      <c r="L226" s="117"/>
      <c r="M226" s="117"/>
      <c r="N226" s="22">
        <f>D226+E226+F226+G226+H226+I226+J226+K226+L226+M226</f>
        <v>0.4</v>
      </c>
      <c r="O226" s="136"/>
      <c r="P226" s="139"/>
      <c r="Q226" s="23"/>
    </row>
    <row r="227" spans="1:17" ht="33" customHeight="1" x14ac:dyDescent="0.25">
      <c r="A227" s="149"/>
      <c r="B227" s="22" t="s">
        <v>9</v>
      </c>
      <c r="C227" s="39" t="s">
        <v>10</v>
      </c>
      <c r="D227" s="22"/>
      <c r="E227" s="22"/>
      <c r="F227" s="22"/>
      <c r="G227" s="22"/>
      <c r="H227" s="22" t="s">
        <v>56</v>
      </c>
      <c r="I227" s="22"/>
      <c r="J227" s="22"/>
      <c r="K227" s="32"/>
      <c r="L227" s="22"/>
      <c r="M227" s="22"/>
      <c r="N227" s="22">
        <v>0</v>
      </c>
      <c r="O227" s="136"/>
      <c r="P227" s="139"/>
      <c r="Q227" s="23"/>
    </row>
    <row r="228" spans="1:17" ht="26.25" customHeight="1" x14ac:dyDescent="0.25">
      <c r="A228" s="148" t="s">
        <v>68</v>
      </c>
      <c r="B228" s="22" t="s">
        <v>5</v>
      </c>
      <c r="C228" s="40" t="s">
        <v>6</v>
      </c>
      <c r="D228" s="22"/>
      <c r="E228" s="22"/>
      <c r="F228" s="117"/>
      <c r="G228" s="117"/>
      <c r="H228" s="117"/>
      <c r="I228" s="117">
        <v>0.5</v>
      </c>
      <c r="J228" s="22"/>
      <c r="K228" s="32"/>
      <c r="L228" s="22"/>
      <c r="M228" s="22"/>
      <c r="N228" s="22">
        <f>D228+E228+F228+G228+H228+I228+J228+K228+L228+M228</f>
        <v>0.5</v>
      </c>
      <c r="O228" s="136"/>
      <c r="P228" s="139"/>
      <c r="Q228" s="23"/>
    </row>
    <row r="229" spans="1:17" ht="50.25" customHeight="1" x14ac:dyDescent="0.25">
      <c r="A229" s="149"/>
      <c r="B229" s="22" t="s">
        <v>9</v>
      </c>
      <c r="C229" s="39" t="s">
        <v>10</v>
      </c>
      <c r="D229" s="22"/>
      <c r="E229" s="22"/>
      <c r="F229" s="22"/>
      <c r="G229" s="22"/>
      <c r="H229" s="22"/>
      <c r="I229" s="22" t="s">
        <v>56</v>
      </c>
      <c r="J229" s="22"/>
      <c r="K229" s="32"/>
      <c r="L229" s="22"/>
      <c r="M229" s="22"/>
      <c r="N229" s="22">
        <v>0</v>
      </c>
      <c r="O229" s="136"/>
      <c r="P229" s="139"/>
      <c r="Q229" s="23"/>
    </row>
    <row r="230" spans="1:17" ht="36.75" customHeight="1" x14ac:dyDescent="0.25">
      <c r="A230" s="198" t="s">
        <v>69</v>
      </c>
      <c r="B230" s="22" t="s">
        <v>5</v>
      </c>
      <c r="C230" s="40" t="s">
        <v>22</v>
      </c>
      <c r="D230" s="22"/>
      <c r="E230" s="22"/>
      <c r="F230" s="36"/>
      <c r="G230" s="36"/>
      <c r="H230" s="36"/>
      <c r="I230" s="36"/>
      <c r="J230" s="36"/>
      <c r="K230" s="32"/>
      <c r="L230" s="36">
        <v>1</v>
      </c>
      <c r="M230" s="22"/>
      <c r="N230" s="22">
        <f>D230+E230+F230+G230+H230+I230+J230+K230+L230+M230</f>
        <v>1</v>
      </c>
      <c r="O230" s="136"/>
      <c r="P230" s="139"/>
      <c r="Q230" s="23"/>
    </row>
    <row r="231" spans="1:17" ht="29.25" customHeight="1" x14ac:dyDescent="0.25">
      <c r="A231" s="199"/>
      <c r="B231" s="22" t="s">
        <v>9</v>
      </c>
      <c r="C231" s="39" t="s">
        <v>10</v>
      </c>
      <c r="D231" s="22"/>
      <c r="E231" s="22"/>
      <c r="F231" s="117"/>
      <c r="G231" s="117"/>
      <c r="H231" s="117"/>
      <c r="I231" s="117"/>
      <c r="J231" s="117"/>
      <c r="K231" s="32"/>
      <c r="L231" s="117" t="s">
        <v>56</v>
      </c>
      <c r="M231" s="22"/>
      <c r="N231" s="22">
        <v>0</v>
      </c>
      <c r="O231" s="136"/>
      <c r="P231" s="139"/>
      <c r="Q231" s="23"/>
    </row>
    <row r="232" spans="1:17" ht="45" hidden="1" customHeight="1" x14ac:dyDescent="0.25">
      <c r="A232" s="148"/>
      <c r="B232" s="22"/>
      <c r="C232" s="40"/>
      <c r="D232" s="117"/>
      <c r="E232" s="117"/>
      <c r="F232" s="117"/>
      <c r="G232" s="117"/>
      <c r="H232" s="117"/>
      <c r="I232" s="117"/>
      <c r="J232" s="117"/>
      <c r="K232" s="32"/>
      <c r="L232" s="117"/>
      <c r="M232" s="117"/>
      <c r="N232" s="22"/>
      <c r="O232" s="136"/>
      <c r="P232" s="139"/>
      <c r="Q232" s="23"/>
    </row>
    <row r="233" spans="1:17" ht="74.25" hidden="1" customHeight="1" x14ac:dyDescent="0.25">
      <c r="A233" s="149"/>
      <c r="B233" s="22"/>
      <c r="C233" s="39"/>
      <c r="D233" s="22"/>
      <c r="E233" s="22"/>
      <c r="F233" s="117"/>
      <c r="G233" s="117"/>
      <c r="H233" s="117"/>
      <c r="I233" s="117"/>
      <c r="J233" s="22"/>
      <c r="K233" s="32"/>
      <c r="L233" s="22"/>
      <c r="M233" s="22"/>
      <c r="N233" s="22"/>
      <c r="O233" s="136"/>
      <c r="P233" s="139"/>
      <c r="Q233" s="23"/>
    </row>
    <row r="234" spans="1:17" ht="26.25" customHeight="1" x14ac:dyDescent="0.25">
      <c r="A234" s="148" t="s">
        <v>141</v>
      </c>
      <c r="B234" s="22" t="s">
        <v>5</v>
      </c>
      <c r="C234" s="40" t="s">
        <v>22</v>
      </c>
      <c r="D234" s="22"/>
      <c r="E234" s="22"/>
      <c r="F234" s="32"/>
      <c r="G234" s="36"/>
      <c r="H234" s="36"/>
      <c r="I234" s="117"/>
      <c r="J234" s="36">
        <v>1</v>
      </c>
      <c r="K234" s="117"/>
      <c r="L234" s="32"/>
      <c r="M234" s="117"/>
      <c r="N234" s="22">
        <f>D234+E234+F234+G234+H234+I234+J234+K234+L234+M234</f>
        <v>1</v>
      </c>
      <c r="O234" s="136"/>
      <c r="P234" s="139"/>
      <c r="Q234" s="23"/>
    </row>
    <row r="235" spans="1:17" ht="55.5" customHeight="1" x14ac:dyDescent="0.25">
      <c r="A235" s="149"/>
      <c r="B235" s="22" t="s">
        <v>9</v>
      </c>
      <c r="C235" s="39" t="s">
        <v>10</v>
      </c>
      <c r="D235" s="22"/>
      <c r="E235" s="22"/>
      <c r="F235" s="32"/>
      <c r="G235" s="117"/>
      <c r="H235" s="117"/>
      <c r="I235" s="117"/>
      <c r="J235" s="117" t="s">
        <v>56</v>
      </c>
      <c r="K235" s="117"/>
      <c r="L235" s="32"/>
      <c r="M235" s="117"/>
      <c r="N235" s="22">
        <v>0</v>
      </c>
      <c r="O235" s="136"/>
      <c r="P235" s="139"/>
      <c r="Q235" s="23"/>
    </row>
    <row r="236" spans="1:17" ht="18" customHeight="1" x14ac:dyDescent="0.25">
      <c r="A236" s="196" t="s">
        <v>122</v>
      </c>
      <c r="B236" s="22" t="s">
        <v>5</v>
      </c>
      <c r="C236" s="40" t="s">
        <v>22</v>
      </c>
      <c r="D236" s="32"/>
      <c r="E236" s="32"/>
      <c r="F236" s="32"/>
      <c r="G236" s="32"/>
      <c r="H236" s="21"/>
      <c r="I236" s="32"/>
      <c r="J236" s="21">
        <v>1</v>
      </c>
      <c r="K236" s="32"/>
      <c r="L236" s="32"/>
      <c r="M236" s="32"/>
      <c r="N236" s="22">
        <f t="shared" ref="N236:N238" si="51">D236+E236+F236+G236+H236+I236+J236+K236+L236+M236</f>
        <v>1</v>
      </c>
      <c r="O236" s="136"/>
      <c r="P236" s="139"/>
      <c r="Q236" s="23"/>
    </row>
    <row r="237" spans="1:17" ht="34.5" customHeight="1" x14ac:dyDescent="0.25">
      <c r="A237" s="197"/>
      <c r="B237" s="22" t="s">
        <v>9</v>
      </c>
      <c r="C237" s="39" t="s">
        <v>10</v>
      </c>
      <c r="D237" s="32"/>
      <c r="E237" s="32"/>
      <c r="F237" s="32"/>
      <c r="G237" s="32"/>
      <c r="H237" s="22"/>
      <c r="I237" s="32"/>
      <c r="J237" s="22" t="s">
        <v>56</v>
      </c>
      <c r="K237" s="32"/>
      <c r="L237" s="32"/>
      <c r="M237" s="32"/>
      <c r="N237" s="22">
        <v>0</v>
      </c>
      <c r="O237" s="136"/>
      <c r="P237" s="139"/>
      <c r="Q237" s="38"/>
    </row>
    <row r="238" spans="1:17" ht="30" customHeight="1" x14ac:dyDescent="0.25">
      <c r="A238" s="148" t="s">
        <v>123</v>
      </c>
      <c r="B238" s="22" t="s">
        <v>5</v>
      </c>
      <c r="C238" s="40" t="s">
        <v>22</v>
      </c>
      <c r="D238" s="22"/>
      <c r="E238" s="22"/>
      <c r="F238" s="117"/>
      <c r="G238" s="117"/>
      <c r="H238" s="36"/>
      <c r="I238" s="36"/>
      <c r="J238" s="36">
        <v>1</v>
      </c>
      <c r="K238" s="22"/>
      <c r="L238" s="22"/>
      <c r="M238" s="22"/>
      <c r="N238" s="22">
        <f t="shared" si="51"/>
        <v>1</v>
      </c>
      <c r="O238" s="136"/>
      <c r="P238" s="139"/>
      <c r="Q238" s="38"/>
    </row>
    <row r="239" spans="1:17" ht="34.5" customHeight="1" x14ac:dyDescent="0.25">
      <c r="A239" s="149"/>
      <c r="B239" s="22" t="s">
        <v>9</v>
      </c>
      <c r="C239" s="39" t="s">
        <v>10</v>
      </c>
      <c r="D239" s="22"/>
      <c r="E239" s="22"/>
      <c r="F239" s="117"/>
      <c r="G239" s="117"/>
      <c r="H239" s="117"/>
      <c r="I239" s="117"/>
      <c r="J239" s="117" t="s">
        <v>56</v>
      </c>
      <c r="K239" s="22"/>
      <c r="L239" s="22"/>
      <c r="M239" s="22"/>
      <c r="N239" s="22">
        <v>0</v>
      </c>
      <c r="O239" s="136"/>
      <c r="P239" s="139"/>
      <c r="Q239" s="38"/>
    </row>
    <row r="240" spans="1:17" ht="0.75" hidden="1" customHeight="1" x14ac:dyDescent="0.25">
      <c r="A240" s="148"/>
      <c r="B240" s="22"/>
      <c r="C240" s="40"/>
      <c r="D240" s="22"/>
      <c r="E240" s="22"/>
      <c r="F240" s="117"/>
      <c r="G240" s="117"/>
      <c r="H240" s="117"/>
      <c r="I240" s="21"/>
      <c r="J240" s="22"/>
      <c r="K240" s="32"/>
      <c r="L240" s="22"/>
      <c r="M240" s="22"/>
      <c r="N240" s="22"/>
      <c r="O240" s="43"/>
      <c r="P240" s="44"/>
      <c r="Q240" s="38"/>
    </row>
    <row r="241" spans="1:17" ht="39.75" hidden="1" customHeight="1" x14ac:dyDescent="0.25">
      <c r="A241" s="149"/>
      <c r="B241" s="22"/>
      <c r="C241" s="39"/>
      <c r="D241" s="22"/>
      <c r="E241" s="22"/>
      <c r="F241" s="117"/>
      <c r="G241" s="117"/>
      <c r="H241" s="117"/>
      <c r="I241" s="22"/>
      <c r="J241" s="22"/>
      <c r="K241" s="32"/>
      <c r="L241" s="22"/>
      <c r="M241" s="22"/>
      <c r="N241" s="22"/>
      <c r="O241" s="43"/>
      <c r="P241" s="44"/>
      <c r="Q241" s="38"/>
    </row>
    <row r="242" spans="1:17" ht="48.75" hidden="1" customHeight="1" x14ac:dyDescent="0.25">
      <c r="A242" s="153"/>
      <c r="B242" s="22"/>
      <c r="C242" s="40"/>
      <c r="D242" s="22"/>
      <c r="E242" s="22"/>
      <c r="F242" s="117"/>
      <c r="G242" s="117"/>
      <c r="H242" s="117"/>
      <c r="I242" s="22"/>
      <c r="J242" s="22"/>
      <c r="K242" s="32"/>
      <c r="L242" s="22"/>
      <c r="M242" s="22"/>
      <c r="N242" s="22"/>
      <c r="O242" s="46"/>
      <c r="P242" s="66"/>
      <c r="Q242" s="38"/>
    </row>
    <row r="243" spans="1:17" ht="45" hidden="1" customHeight="1" x14ac:dyDescent="0.25">
      <c r="A243" s="153"/>
      <c r="B243" s="22"/>
      <c r="C243" s="39"/>
      <c r="D243" s="22"/>
      <c r="E243" s="22"/>
      <c r="F243" s="117"/>
      <c r="G243" s="117"/>
      <c r="H243" s="117"/>
      <c r="I243" s="22"/>
      <c r="J243" s="22"/>
      <c r="K243" s="32"/>
      <c r="L243" s="22"/>
      <c r="M243" s="22"/>
      <c r="N243" s="22"/>
      <c r="O243" s="27"/>
      <c r="P243" s="28"/>
      <c r="Q243" s="23"/>
    </row>
    <row r="244" spans="1:17" ht="44.25" hidden="1" customHeight="1" x14ac:dyDescent="0.25">
      <c r="A244" s="148"/>
      <c r="B244" s="22"/>
      <c r="C244" s="40"/>
      <c r="D244" s="22"/>
      <c r="E244" s="22"/>
      <c r="F244" s="117"/>
      <c r="G244" s="117"/>
      <c r="H244" s="117"/>
      <c r="I244" s="117"/>
      <c r="J244" s="22"/>
      <c r="K244" s="22"/>
      <c r="L244" s="22"/>
      <c r="M244" s="22"/>
      <c r="N244" s="22"/>
      <c r="O244" s="27"/>
      <c r="P244" s="28"/>
      <c r="Q244" s="23"/>
    </row>
    <row r="245" spans="1:17" ht="43.5" hidden="1" customHeight="1" x14ac:dyDescent="0.25">
      <c r="A245" s="149"/>
      <c r="B245" s="22"/>
      <c r="C245" s="39"/>
      <c r="D245" s="22"/>
      <c r="E245" s="22"/>
      <c r="F245" s="117"/>
      <c r="G245" s="117"/>
      <c r="H245" s="117"/>
      <c r="I245" s="117"/>
      <c r="J245" s="22"/>
      <c r="K245" s="22"/>
      <c r="L245" s="22"/>
      <c r="M245" s="22"/>
      <c r="N245" s="22"/>
      <c r="O245" s="27"/>
      <c r="P245" s="28"/>
      <c r="Q245" s="23"/>
    </row>
    <row r="246" spans="1:17" ht="37.5" hidden="1" customHeight="1" x14ac:dyDescent="0.25">
      <c r="A246" s="148"/>
      <c r="B246" s="22"/>
      <c r="C246" s="40"/>
      <c r="D246" s="22"/>
      <c r="E246" s="22"/>
      <c r="F246" s="32"/>
      <c r="G246" s="117"/>
      <c r="H246" s="117"/>
      <c r="I246" s="117"/>
      <c r="J246" s="60"/>
      <c r="K246" s="60"/>
      <c r="L246" s="60"/>
      <c r="M246" s="117"/>
      <c r="N246" s="22"/>
      <c r="O246" s="27"/>
      <c r="P246" s="28"/>
      <c r="Q246" s="23"/>
    </row>
    <row r="247" spans="1:17" ht="37.5" hidden="1" customHeight="1" x14ac:dyDescent="0.25">
      <c r="A247" s="149"/>
      <c r="B247" s="22"/>
      <c r="C247" s="39"/>
      <c r="D247" s="22"/>
      <c r="E247" s="22"/>
      <c r="F247" s="32"/>
      <c r="G247" s="117"/>
      <c r="H247" s="117"/>
      <c r="I247" s="117"/>
      <c r="J247" s="67"/>
      <c r="K247" s="67"/>
      <c r="L247" s="67"/>
      <c r="M247" s="117"/>
      <c r="N247" s="22"/>
      <c r="O247" s="27"/>
      <c r="P247" s="28"/>
      <c r="Q247" s="23"/>
    </row>
    <row r="248" spans="1:17" ht="39" hidden="1" customHeight="1" x14ac:dyDescent="0.25">
      <c r="A248" s="148"/>
      <c r="B248" s="22"/>
      <c r="C248" s="40"/>
      <c r="D248" s="32"/>
      <c r="E248" s="32"/>
      <c r="F248" s="32"/>
      <c r="G248" s="32"/>
      <c r="H248" s="32"/>
      <c r="I248" s="32"/>
      <c r="J248" s="32"/>
      <c r="K248" s="32"/>
      <c r="L248" s="22"/>
      <c r="M248" s="22"/>
      <c r="N248" s="22"/>
      <c r="O248" s="27"/>
      <c r="P248" s="28"/>
      <c r="Q248" s="23"/>
    </row>
    <row r="249" spans="1:17" ht="43.5" hidden="1" customHeight="1" x14ac:dyDescent="0.25">
      <c r="A249" s="149"/>
      <c r="B249" s="22"/>
      <c r="C249" s="39"/>
      <c r="D249" s="32"/>
      <c r="E249" s="32"/>
      <c r="F249" s="32"/>
      <c r="G249" s="32"/>
      <c r="H249" s="32"/>
      <c r="I249" s="32"/>
      <c r="J249" s="32"/>
      <c r="K249" s="17"/>
      <c r="L249" s="22"/>
      <c r="M249" s="22"/>
      <c r="N249" s="22"/>
      <c r="O249" s="27"/>
      <c r="P249" s="28"/>
      <c r="Q249" s="23"/>
    </row>
    <row r="250" spans="1:17" ht="0.75" hidden="1" customHeight="1" x14ac:dyDescent="0.25">
      <c r="A250" s="148"/>
      <c r="B250" s="22"/>
      <c r="C250" s="40"/>
      <c r="D250" s="22"/>
      <c r="E250" s="22"/>
      <c r="F250" s="32"/>
      <c r="G250" s="117"/>
      <c r="H250" s="117"/>
      <c r="I250" s="117"/>
      <c r="J250" s="117"/>
      <c r="K250" s="117"/>
      <c r="L250" s="32"/>
      <c r="M250" s="117"/>
      <c r="N250" s="22"/>
      <c r="O250" s="27"/>
      <c r="P250" s="28"/>
      <c r="Q250" s="23"/>
    </row>
    <row r="251" spans="1:17" ht="41.25" hidden="1" customHeight="1" x14ac:dyDescent="0.25">
      <c r="A251" s="168"/>
      <c r="B251" s="22"/>
      <c r="C251" s="39"/>
      <c r="D251" s="22"/>
      <c r="E251" s="22"/>
      <c r="F251" s="32"/>
      <c r="G251" s="117"/>
      <c r="H251" s="117"/>
      <c r="I251" s="117"/>
      <c r="J251" s="117"/>
      <c r="K251" s="117"/>
      <c r="L251" s="17"/>
      <c r="M251" s="117"/>
      <c r="N251" s="22"/>
      <c r="O251" s="27"/>
      <c r="P251" s="28"/>
      <c r="Q251" s="23"/>
    </row>
    <row r="252" spans="1:17" ht="43.5" hidden="1" customHeight="1" x14ac:dyDescent="0.25">
      <c r="A252" s="169"/>
      <c r="B252" s="22"/>
      <c r="C252" s="40"/>
      <c r="D252" s="22"/>
      <c r="E252" s="22"/>
      <c r="F252" s="32"/>
      <c r="G252" s="117"/>
      <c r="H252" s="117"/>
      <c r="I252" s="117"/>
      <c r="J252" s="117"/>
      <c r="K252" s="117"/>
      <c r="L252" s="117"/>
      <c r="M252" s="117"/>
      <c r="N252" s="22"/>
      <c r="O252" s="27"/>
      <c r="P252" s="28"/>
      <c r="Q252" s="23"/>
    </row>
    <row r="253" spans="1:17" ht="45" hidden="1" customHeight="1" x14ac:dyDescent="0.25">
      <c r="A253" s="169"/>
      <c r="B253" s="22"/>
      <c r="C253" s="39"/>
      <c r="D253" s="22"/>
      <c r="E253" s="22"/>
      <c r="F253" s="32"/>
      <c r="G253" s="117"/>
      <c r="H253" s="117"/>
      <c r="I253" s="117"/>
      <c r="J253" s="117"/>
      <c r="K253" s="117"/>
      <c r="L253" s="117"/>
      <c r="M253" s="117"/>
      <c r="N253" s="22"/>
      <c r="O253" s="27"/>
      <c r="P253" s="28"/>
      <c r="Q253" s="23"/>
    </row>
    <row r="254" spans="1:17" ht="41.25" hidden="1" customHeight="1" x14ac:dyDescent="0.25">
      <c r="A254" s="192"/>
      <c r="B254" s="22"/>
      <c r="C254" s="40"/>
      <c r="D254" s="22"/>
      <c r="E254" s="22"/>
      <c r="F254" s="32"/>
      <c r="G254" s="117"/>
      <c r="H254" s="117"/>
      <c r="I254" s="117"/>
      <c r="J254" s="117"/>
      <c r="K254" s="117"/>
      <c r="L254" s="32"/>
      <c r="M254" s="117"/>
      <c r="N254" s="22"/>
      <c r="O254" s="27"/>
      <c r="P254" s="28"/>
      <c r="Q254" s="23"/>
    </row>
    <row r="255" spans="1:17" ht="44.25" hidden="1" customHeight="1" x14ac:dyDescent="0.25">
      <c r="A255" s="193"/>
      <c r="B255" s="22"/>
      <c r="C255" s="39"/>
      <c r="D255" s="22"/>
      <c r="E255" s="22"/>
      <c r="F255" s="32"/>
      <c r="G255" s="117"/>
      <c r="H255" s="117"/>
      <c r="I255" s="117"/>
      <c r="J255" s="117"/>
      <c r="K255" s="117"/>
      <c r="L255" s="32"/>
      <c r="M255" s="117"/>
      <c r="N255" s="22"/>
      <c r="O255" s="27"/>
      <c r="P255" s="28"/>
      <c r="Q255" s="23"/>
    </row>
    <row r="256" spans="1:17" ht="34.5" hidden="1" customHeight="1" x14ac:dyDescent="0.25">
      <c r="A256" s="151"/>
      <c r="B256" s="22"/>
      <c r="C256" s="40"/>
      <c r="D256" s="22"/>
      <c r="E256" s="22"/>
      <c r="F256" s="32"/>
      <c r="G256" s="117"/>
      <c r="H256" s="117"/>
      <c r="I256" s="117"/>
      <c r="J256" s="117"/>
      <c r="K256" s="117"/>
      <c r="L256" s="32"/>
      <c r="M256" s="36"/>
      <c r="N256" s="22"/>
      <c r="O256" s="27"/>
      <c r="P256" s="28"/>
      <c r="Q256" s="23"/>
    </row>
    <row r="257" spans="1:18" ht="34.5" hidden="1" customHeight="1" x14ac:dyDescent="0.25">
      <c r="A257" s="151"/>
      <c r="B257" s="22"/>
      <c r="C257" s="39"/>
      <c r="D257" s="22"/>
      <c r="E257" s="22"/>
      <c r="F257" s="32"/>
      <c r="G257" s="117"/>
      <c r="H257" s="117"/>
      <c r="I257" s="117"/>
      <c r="J257" s="117"/>
      <c r="K257" s="117"/>
      <c r="L257" s="32"/>
      <c r="M257" s="117"/>
      <c r="N257" s="22"/>
      <c r="O257" s="27"/>
      <c r="P257" s="28"/>
      <c r="Q257" s="23"/>
    </row>
    <row r="258" spans="1:18" ht="33.75" customHeight="1" x14ac:dyDescent="0.25">
      <c r="A258" s="152" t="s">
        <v>198</v>
      </c>
      <c r="B258" s="22" t="s">
        <v>5</v>
      </c>
      <c r="C258" s="40" t="s">
        <v>22</v>
      </c>
      <c r="D258" s="22"/>
      <c r="E258" s="21">
        <v>1</v>
      </c>
      <c r="F258" s="22"/>
      <c r="G258" s="22">
        <v>1</v>
      </c>
      <c r="H258" s="117"/>
      <c r="I258" s="117"/>
      <c r="J258" s="117"/>
      <c r="K258" s="117"/>
      <c r="L258" s="32"/>
      <c r="M258" s="36"/>
      <c r="N258" s="22">
        <f>D258+E258+F258+G258+H258+I258+J258+K258+L258+M258</f>
        <v>2</v>
      </c>
      <c r="O258" s="135" t="s">
        <v>94</v>
      </c>
      <c r="P258" s="138" t="s">
        <v>95</v>
      </c>
    </row>
    <row r="259" spans="1:18" ht="60" customHeight="1" x14ac:dyDescent="0.25">
      <c r="A259" s="152"/>
      <c r="B259" s="22" t="s">
        <v>9</v>
      </c>
      <c r="C259" s="39" t="s">
        <v>10</v>
      </c>
      <c r="D259" s="22"/>
      <c r="E259" s="22">
        <v>3890</v>
      </c>
      <c r="F259" s="22"/>
      <c r="G259" s="22">
        <v>4155.6000000000004</v>
      </c>
      <c r="H259" s="117"/>
      <c r="I259" s="117"/>
      <c r="J259" s="117"/>
      <c r="K259" s="117"/>
      <c r="L259" s="32"/>
      <c r="M259" s="117"/>
      <c r="N259" s="22">
        <f>D259+E259+F259+G259+H259+I259+J259+K259+L259+M259</f>
        <v>8045.6</v>
      </c>
      <c r="O259" s="137"/>
      <c r="P259" s="140"/>
    </row>
    <row r="260" spans="1:18" ht="50.25" customHeight="1" x14ac:dyDescent="0.25">
      <c r="A260" s="152" t="s">
        <v>145</v>
      </c>
      <c r="B260" s="22" t="s">
        <v>5</v>
      </c>
      <c r="C260" s="40" t="s">
        <v>22</v>
      </c>
      <c r="D260" s="75"/>
      <c r="E260" s="75"/>
      <c r="F260" s="84">
        <v>5</v>
      </c>
      <c r="G260" s="75"/>
      <c r="H260" s="114"/>
      <c r="I260" s="114"/>
      <c r="J260" s="114"/>
      <c r="K260" s="114"/>
      <c r="L260" s="99"/>
      <c r="M260" s="114"/>
      <c r="N260" s="22">
        <f>D260+E260+F260+G260+H260+I260+J260+K260+L260+M260</f>
        <v>5</v>
      </c>
      <c r="O260" s="115" t="s">
        <v>144</v>
      </c>
      <c r="P260" s="111"/>
    </row>
    <row r="261" spans="1:18" ht="42" customHeight="1" x14ac:dyDescent="0.25">
      <c r="A261" s="152"/>
      <c r="B261" s="22" t="s">
        <v>9</v>
      </c>
      <c r="C261" s="39" t="s">
        <v>10</v>
      </c>
      <c r="D261" s="75"/>
      <c r="E261" s="75"/>
      <c r="F261" s="75">
        <f>4622.7+243.3</f>
        <v>4866</v>
      </c>
      <c r="G261" s="75"/>
      <c r="H261" s="114"/>
      <c r="I261" s="114"/>
      <c r="J261" s="114"/>
      <c r="K261" s="114"/>
      <c r="L261" s="99"/>
      <c r="M261" s="114"/>
      <c r="N261" s="22">
        <f>D261+E261+F261+G261+H261+I261+J261+K261+L261+M261</f>
        <v>4866</v>
      </c>
      <c r="O261" s="115"/>
      <c r="P261" s="111"/>
    </row>
    <row r="262" spans="1:18" ht="30" customHeight="1" x14ac:dyDescent="0.25">
      <c r="A262" s="146" t="s">
        <v>48</v>
      </c>
      <c r="B262" s="86" t="s">
        <v>27</v>
      </c>
      <c r="C262" s="87" t="s">
        <v>10</v>
      </c>
      <c r="D262" s="86">
        <f>D263+D264+D265+D266</f>
        <v>3750.15</v>
      </c>
      <c r="E262" s="86">
        <f t="shared" ref="E262:K262" si="52">E263+E264+E265+E266</f>
        <v>3890</v>
      </c>
      <c r="F262" s="86">
        <f t="shared" si="52"/>
        <v>138328.6</v>
      </c>
      <c r="G262" s="86">
        <f t="shared" si="52"/>
        <v>223235.7</v>
      </c>
      <c r="H262" s="86">
        <f t="shared" si="52"/>
        <v>7386.2</v>
      </c>
      <c r="I262" s="86">
        <f t="shared" si="52"/>
        <v>23247.5</v>
      </c>
      <c r="J262" s="86">
        <f t="shared" si="52"/>
        <v>5000</v>
      </c>
      <c r="K262" s="86">
        <f t="shared" si="52"/>
        <v>6000</v>
      </c>
      <c r="L262" s="86">
        <f>L263+L264+L265+L266</f>
        <v>6000</v>
      </c>
      <c r="M262" s="86">
        <f>M263+M264+M265+M266</f>
        <v>6000</v>
      </c>
      <c r="N262" s="86">
        <f>N263+N264+N265+N266</f>
        <v>422838.15</v>
      </c>
      <c r="O262" s="135"/>
      <c r="P262" s="138"/>
      <c r="Q262" s="23"/>
    </row>
    <row r="263" spans="1:18" ht="27" customHeight="1" x14ac:dyDescent="0.25">
      <c r="A263" s="147"/>
      <c r="B263" s="33" t="s">
        <v>16</v>
      </c>
      <c r="C263" s="45" t="s">
        <v>10</v>
      </c>
      <c r="D263" s="96">
        <f t="shared" ref="D263:M263" si="53">D171+D212</f>
        <v>0</v>
      </c>
      <c r="E263" s="96">
        <f t="shared" si="53"/>
        <v>0</v>
      </c>
      <c r="F263" s="96">
        <f t="shared" si="53"/>
        <v>0</v>
      </c>
      <c r="G263" s="96">
        <f t="shared" si="53"/>
        <v>0</v>
      </c>
      <c r="H263" s="96">
        <f t="shared" si="53"/>
        <v>0</v>
      </c>
      <c r="I263" s="96">
        <f t="shared" si="53"/>
        <v>0</v>
      </c>
      <c r="J263" s="96">
        <f t="shared" si="53"/>
        <v>0</v>
      </c>
      <c r="K263" s="96">
        <f t="shared" si="53"/>
        <v>0</v>
      </c>
      <c r="L263" s="96">
        <f t="shared" si="53"/>
        <v>0</v>
      </c>
      <c r="M263" s="96">
        <f t="shared" si="53"/>
        <v>0</v>
      </c>
      <c r="N263" s="96">
        <f>D263+E263+F263+G263+H263+I263+J263+K263+L263</f>
        <v>0</v>
      </c>
      <c r="O263" s="136"/>
      <c r="P263" s="139"/>
      <c r="Q263" s="23"/>
    </row>
    <row r="264" spans="1:18" ht="37.5" customHeight="1" x14ac:dyDescent="0.25">
      <c r="A264" s="147"/>
      <c r="B264" s="33" t="s">
        <v>12</v>
      </c>
      <c r="C264" s="45" t="s">
        <v>10</v>
      </c>
      <c r="D264" s="96">
        <f t="shared" ref="D264:M264" si="54">D172+D213</f>
        <v>0</v>
      </c>
      <c r="E264" s="96">
        <f t="shared" si="54"/>
        <v>0</v>
      </c>
      <c r="F264" s="25">
        <f t="shared" si="54"/>
        <v>104622.645</v>
      </c>
      <c r="G264" s="25">
        <f t="shared" si="54"/>
        <v>208126</v>
      </c>
      <c r="H264" s="25">
        <f t="shared" si="54"/>
        <v>7016.8899999999994</v>
      </c>
      <c r="I264" s="25">
        <f t="shared" si="54"/>
        <v>22085.125</v>
      </c>
      <c r="J264" s="25">
        <f t="shared" si="54"/>
        <v>4750</v>
      </c>
      <c r="K264" s="96">
        <f t="shared" si="54"/>
        <v>5700</v>
      </c>
      <c r="L264" s="96">
        <f t="shared" si="54"/>
        <v>5700</v>
      </c>
      <c r="M264" s="96">
        <f t="shared" si="54"/>
        <v>5700</v>
      </c>
      <c r="N264" s="25">
        <f>D264+E264+F264+G264+H264+I264+J264+K264+L264+M264</f>
        <v>363700.66000000003</v>
      </c>
      <c r="O264" s="136"/>
      <c r="P264" s="139"/>
      <c r="Q264" s="23"/>
      <c r="R264" s="29"/>
    </row>
    <row r="265" spans="1:18" ht="29.25" customHeight="1" x14ac:dyDescent="0.25">
      <c r="A265" s="147"/>
      <c r="B265" s="33" t="s">
        <v>8</v>
      </c>
      <c r="C265" s="45" t="s">
        <v>10</v>
      </c>
      <c r="D265" s="25">
        <f t="shared" ref="D265:G266" si="55">D173+D214</f>
        <v>3750.15</v>
      </c>
      <c r="E265" s="25">
        <f t="shared" si="55"/>
        <v>3890</v>
      </c>
      <c r="F265" s="25">
        <f t="shared" si="55"/>
        <v>33705.955000000002</v>
      </c>
      <c r="G265" s="25">
        <f t="shared" si="55"/>
        <v>15109.700000000003</v>
      </c>
      <c r="H265" s="25">
        <f t="shared" ref="H265:M266" si="56">H173+H214</f>
        <v>369.3100000000004</v>
      </c>
      <c r="I265" s="25">
        <f t="shared" si="56"/>
        <v>1162.375</v>
      </c>
      <c r="J265" s="96">
        <f t="shared" si="56"/>
        <v>250</v>
      </c>
      <c r="K265" s="25">
        <f t="shared" si="56"/>
        <v>300</v>
      </c>
      <c r="L265" s="25">
        <f t="shared" si="56"/>
        <v>300</v>
      </c>
      <c r="M265" s="25">
        <f t="shared" si="56"/>
        <v>300</v>
      </c>
      <c r="N265" s="25">
        <f>D265+E265+F265+G265+H265+I265+J265+K265+L265+M265</f>
        <v>59137.490000000005</v>
      </c>
      <c r="O265" s="136"/>
      <c r="P265" s="139"/>
      <c r="Q265" s="23"/>
    </row>
    <row r="266" spans="1:18" ht="33" customHeight="1" x14ac:dyDescent="0.25">
      <c r="A266" s="147"/>
      <c r="B266" s="33" t="s">
        <v>17</v>
      </c>
      <c r="C266" s="45" t="s">
        <v>10</v>
      </c>
      <c r="D266" s="96">
        <f t="shared" si="55"/>
        <v>0</v>
      </c>
      <c r="E266" s="96">
        <f t="shared" si="55"/>
        <v>0</v>
      </c>
      <c r="F266" s="96">
        <f t="shared" si="55"/>
        <v>0</v>
      </c>
      <c r="G266" s="96">
        <f>G174+G215</f>
        <v>0</v>
      </c>
      <c r="H266" s="96">
        <f t="shared" si="56"/>
        <v>0</v>
      </c>
      <c r="I266" s="96">
        <f t="shared" si="56"/>
        <v>0</v>
      </c>
      <c r="J266" s="96">
        <f t="shared" si="56"/>
        <v>0</v>
      </c>
      <c r="K266" s="96">
        <f t="shared" si="56"/>
        <v>0</v>
      </c>
      <c r="L266" s="96">
        <f t="shared" si="56"/>
        <v>0</v>
      </c>
      <c r="M266" s="96">
        <f t="shared" si="56"/>
        <v>0</v>
      </c>
      <c r="N266" s="96">
        <f>D266+E266+F266+G266+H266+I266+J266+K266+L266+M266</f>
        <v>0</v>
      </c>
      <c r="O266" s="137"/>
      <c r="P266" s="140"/>
      <c r="Q266" s="23"/>
    </row>
    <row r="267" spans="1:18" ht="25.5" customHeight="1" x14ac:dyDescent="0.25">
      <c r="A267" s="170" t="s">
        <v>42</v>
      </c>
      <c r="B267" s="171"/>
      <c r="C267" s="171"/>
      <c r="D267" s="171"/>
      <c r="E267" s="171"/>
      <c r="F267" s="171"/>
      <c r="G267" s="171"/>
      <c r="H267" s="171"/>
      <c r="I267" s="171"/>
      <c r="J267" s="171"/>
      <c r="K267" s="171"/>
      <c r="L267" s="171"/>
      <c r="M267" s="171"/>
      <c r="N267" s="171"/>
      <c r="O267" s="171"/>
      <c r="P267" s="172"/>
      <c r="Q267" s="23"/>
    </row>
    <row r="268" spans="1:18" ht="27" customHeight="1" x14ac:dyDescent="0.25">
      <c r="A268" s="170" t="s">
        <v>44</v>
      </c>
      <c r="B268" s="171"/>
      <c r="C268" s="171"/>
      <c r="D268" s="171"/>
      <c r="E268" s="171"/>
      <c r="F268" s="171"/>
      <c r="G268" s="171"/>
      <c r="H268" s="171"/>
      <c r="I268" s="171"/>
      <c r="J268" s="171"/>
      <c r="K268" s="171"/>
      <c r="L268" s="171"/>
      <c r="M268" s="171"/>
      <c r="N268" s="171"/>
      <c r="O268" s="171"/>
      <c r="P268" s="172"/>
      <c r="Q268" s="23"/>
    </row>
    <row r="269" spans="1:18" ht="23.25" customHeight="1" x14ac:dyDescent="0.25">
      <c r="A269" s="150" t="s">
        <v>113</v>
      </c>
      <c r="B269" s="118" t="s">
        <v>5</v>
      </c>
      <c r="C269" s="119" t="s">
        <v>24</v>
      </c>
      <c r="D269" s="21">
        <f>D276+D278+D280+D282+D284+D286+D288+D292+D294+D296+D298+D300+D304+D306</f>
        <v>0</v>
      </c>
      <c r="E269" s="22">
        <f t="shared" ref="E269:M269" si="57">E276+E278+E280+E282+E284+E286+E288+E292+E294+E296+E298+E300+E304+E306</f>
        <v>8</v>
      </c>
      <c r="F269" s="22">
        <f t="shared" si="57"/>
        <v>2</v>
      </c>
      <c r="G269" s="22">
        <f t="shared" si="57"/>
        <v>5</v>
      </c>
      <c r="H269" s="22">
        <f t="shared" si="57"/>
        <v>4</v>
      </c>
      <c r="I269" s="22">
        <f t="shared" si="57"/>
        <v>1</v>
      </c>
      <c r="J269" s="22">
        <f t="shared" si="57"/>
        <v>1</v>
      </c>
      <c r="K269" s="21">
        <f t="shared" si="57"/>
        <v>0</v>
      </c>
      <c r="L269" s="21">
        <f t="shared" si="57"/>
        <v>0</v>
      </c>
      <c r="M269" s="21">
        <f t="shared" si="57"/>
        <v>0</v>
      </c>
      <c r="N269" s="22">
        <f>D269+E269+F269+G269+H269+I269+J269+K269+L269+M269</f>
        <v>21</v>
      </c>
      <c r="O269" s="64"/>
      <c r="P269" s="65"/>
      <c r="Q269" s="23"/>
    </row>
    <row r="270" spans="1:18" ht="28.5" customHeight="1" x14ac:dyDescent="0.25">
      <c r="A270" s="150"/>
      <c r="B270" s="118" t="s">
        <v>15</v>
      </c>
      <c r="C270" s="39" t="s">
        <v>10</v>
      </c>
      <c r="D270" s="21">
        <v>0</v>
      </c>
      <c r="E270" s="22">
        <f>E271/E269</f>
        <v>15196.25</v>
      </c>
      <c r="F270" s="22">
        <f>F271/F269</f>
        <v>19641.8</v>
      </c>
      <c r="G270" s="22">
        <f t="shared" ref="G270:J270" si="58">G271/G269</f>
        <v>4716</v>
      </c>
      <c r="H270" s="22">
        <f t="shared" si="58"/>
        <v>23372.5</v>
      </c>
      <c r="I270" s="22">
        <f t="shared" si="58"/>
        <v>250</v>
      </c>
      <c r="J270" s="22">
        <f t="shared" si="58"/>
        <v>2510</v>
      </c>
      <c r="K270" s="21">
        <v>0</v>
      </c>
      <c r="L270" s="21">
        <v>0</v>
      </c>
      <c r="M270" s="21">
        <v>0</v>
      </c>
      <c r="N270" s="22">
        <f>N271/N269</f>
        <v>13365.885714285712</v>
      </c>
      <c r="O270" s="43"/>
      <c r="P270" s="44"/>
      <c r="Q270" s="23"/>
    </row>
    <row r="271" spans="1:18" ht="30.75" customHeight="1" x14ac:dyDescent="0.25">
      <c r="A271" s="150"/>
      <c r="B271" s="118" t="s">
        <v>7</v>
      </c>
      <c r="C271" s="39" t="s">
        <v>10</v>
      </c>
      <c r="D271" s="21">
        <f>D272+D273+D274+D275</f>
        <v>0</v>
      </c>
      <c r="E271" s="22">
        <f t="shared" ref="E271:M271" si="59">E272+E273+E274+E275</f>
        <v>121570</v>
      </c>
      <c r="F271" s="22">
        <f t="shared" si="59"/>
        <v>39283.599999999999</v>
      </c>
      <c r="G271" s="22">
        <f t="shared" si="59"/>
        <v>23580</v>
      </c>
      <c r="H271" s="22">
        <f>H272+H273+H274+H275</f>
        <v>93490</v>
      </c>
      <c r="I271" s="22">
        <f t="shared" si="59"/>
        <v>250</v>
      </c>
      <c r="J271" s="22">
        <f t="shared" si="59"/>
        <v>2510</v>
      </c>
      <c r="K271" s="21">
        <f t="shared" si="59"/>
        <v>0</v>
      </c>
      <c r="L271" s="21">
        <f t="shared" si="59"/>
        <v>0</v>
      </c>
      <c r="M271" s="21">
        <f t="shared" si="59"/>
        <v>0</v>
      </c>
      <c r="N271" s="22">
        <f>D271+E271+F271+G271+H271+I271+J271+K271+L271+M271</f>
        <v>280683.59999999998</v>
      </c>
      <c r="O271" s="43"/>
      <c r="P271" s="44"/>
      <c r="Q271" s="23">
        <f>N277+N279+N281+N283+N285+N287+N289+N291+N293+N295+N297+N299+N301+N303+N305+N307+N309+N311+N313</f>
        <v>280683.59999999998</v>
      </c>
    </row>
    <row r="272" spans="1:18" ht="28.5" customHeight="1" x14ac:dyDescent="0.25">
      <c r="A272" s="150"/>
      <c r="B272" s="118" t="s">
        <v>16</v>
      </c>
      <c r="C272" s="39" t="s">
        <v>10</v>
      </c>
      <c r="D272" s="21">
        <v>0</v>
      </c>
      <c r="E272" s="21">
        <v>0</v>
      </c>
      <c r="F272" s="21">
        <v>0</v>
      </c>
      <c r="G272" s="21">
        <v>0</v>
      </c>
      <c r="H272" s="21">
        <v>0</v>
      </c>
      <c r="I272" s="21">
        <v>0</v>
      </c>
      <c r="J272" s="21">
        <v>0</v>
      </c>
      <c r="K272" s="21">
        <v>0</v>
      </c>
      <c r="L272" s="21">
        <v>0</v>
      </c>
      <c r="M272" s="21">
        <v>0</v>
      </c>
      <c r="N272" s="22">
        <f>D272+E272+F272+G272+H272+I272+J272+K272+L272+M272</f>
        <v>0</v>
      </c>
      <c r="O272" s="43"/>
      <c r="P272" s="44"/>
      <c r="Q272" s="23"/>
    </row>
    <row r="273" spans="1:17" ht="32.25" customHeight="1" x14ac:dyDescent="0.25">
      <c r="A273" s="150"/>
      <c r="B273" s="118" t="s">
        <v>12</v>
      </c>
      <c r="C273" s="39" t="s">
        <v>10</v>
      </c>
      <c r="D273" s="21">
        <v>0</v>
      </c>
      <c r="E273" s="21">
        <v>0</v>
      </c>
      <c r="F273" s="21">
        <v>0</v>
      </c>
      <c r="G273" s="21">
        <v>0</v>
      </c>
      <c r="H273" s="21">
        <v>0</v>
      </c>
      <c r="I273" s="21">
        <v>0</v>
      </c>
      <c r="J273" s="21">
        <v>0</v>
      </c>
      <c r="K273" s="21">
        <v>0</v>
      </c>
      <c r="L273" s="21">
        <v>0</v>
      </c>
      <c r="M273" s="21">
        <v>0</v>
      </c>
      <c r="N273" s="22">
        <f>D273+E273+F273+G273+H273+I273+J273+K273+L273+M273</f>
        <v>0</v>
      </c>
      <c r="O273" s="43"/>
      <c r="P273" s="44"/>
      <c r="Q273" s="23"/>
    </row>
    <row r="274" spans="1:17" ht="33" customHeight="1" x14ac:dyDescent="0.25">
      <c r="A274" s="150"/>
      <c r="B274" s="118" t="s">
        <v>8</v>
      </c>
      <c r="C274" s="39" t="s">
        <v>10</v>
      </c>
      <c r="D274" s="21">
        <v>0</v>
      </c>
      <c r="E274" s="21">
        <v>0</v>
      </c>
      <c r="F274" s="22">
        <f>F307+F309+F311+F313</f>
        <v>8143.6</v>
      </c>
      <c r="G274" s="21">
        <v>0</v>
      </c>
      <c r="H274" s="21">
        <v>0</v>
      </c>
      <c r="I274" s="21">
        <v>0</v>
      </c>
      <c r="J274" s="21">
        <v>0</v>
      </c>
      <c r="K274" s="21">
        <v>0</v>
      </c>
      <c r="L274" s="21">
        <v>0</v>
      </c>
      <c r="M274" s="21">
        <v>0</v>
      </c>
      <c r="N274" s="22">
        <f>D274+E274+F274+G274+H274+I274+J274+K274+L274+M274</f>
        <v>8143.6</v>
      </c>
      <c r="O274" s="43"/>
      <c r="P274" s="44"/>
      <c r="Q274" s="23"/>
    </row>
    <row r="275" spans="1:17" ht="29.25" customHeight="1" x14ac:dyDescent="0.25">
      <c r="A275" s="150"/>
      <c r="B275" s="118" t="s">
        <v>17</v>
      </c>
      <c r="C275" s="39" t="s">
        <v>10</v>
      </c>
      <c r="D275" s="21">
        <f>D277+D279+D281+D283+D285+D287+D289+D291+D293+D295+D297+D299+D301+D303+D305</f>
        <v>0</v>
      </c>
      <c r="E275" s="22">
        <f t="shared" ref="E275:M275" si="60">E277+E279+E281+E283+E285+E287+E289+E291+E293+E295+E297+E299+E301+E303+E305</f>
        <v>121570</v>
      </c>
      <c r="F275" s="22">
        <f t="shared" si="60"/>
        <v>31140</v>
      </c>
      <c r="G275" s="22">
        <f t="shared" si="60"/>
        <v>23580</v>
      </c>
      <c r="H275" s="22">
        <f t="shared" si="60"/>
        <v>93490</v>
      </c>
      <c r="I275" s="22">
        <f t="shared" si="60"/>
        <v>250</v>
      </c>
      <c r="J275" s="22">
        <f t="shared" si="60"/>
        <v>2510</v>
      </c>
      <c r="K275" s="21">
        <f t="shared" si="60"/>
        <v>0</v>
      </c>
      <c r="L275" s="21">
        <f t="shared" si="60"/>
        <v>0</v>
      </c>
      <c r="M275" s="21">
        <f t="shared" si="60"/>
        <v>0</v>
      </c>
      <c r="N275" s="22">
        <f>D275+E275+F275+G275+H275+I275+J275+K275+L275+M275</f>
        <v>272540</v>
      </c>
      <c r="O275" s="43"/>
      <c r="P275" s="44"/>
      <c r="Q275" s="23"/>
    </row>
    <row r="276" spans="1:17" ht="29.25" customHeight="1" x14ac:dyDescent="0.25">
      <c r="A276" s="151" t="s">
        <v>98</v>
      </c>
      <c r="B276" s="17" t="s">
        <v>5</v>
      </c>
      <c r="C276" s="17" t="s">
        <v>22</v>
      </c>
      <c r="D276" s="72"/>
      <c r="E276" s="72"/>
      <c r="F276" s="67"/>
      <c r="G276" s="36">
        <v>1</v>
      </c>
      <c r="H276" s="36">
        <v>1</v>
      </c>
      <c r="I276" s="67"/>
      <c r="J276" s="22"/>
      <c r="K276" s="22"/>
      <c r="L276" s="22"/>
      <c r="M276" s="22"/>
      <c r="N276" s="22">
        <f t="shared" ref="N276:N313" si="61">D276+E276+F276+G276+H276+I276+J276+K276+L276+M276</f>
        <v>2</v>
      </c>
      <c r="O276" s="135" t="s">
        <v>115</v>
      </c>
      <c r="P276" s="138" t="s">
        <v>53</v>
      </c>
      <c r="Q276" s="23"/>
    </row>
    <row r="277" spans="1:17" ht="84" customHeight="1" x14ac:dyDescent="0.25">
      <c r="A277" s="151"/>
      <c r="B277" s="17" t="s">
        <v>82</v>
      </c>
      <c r="C277" s="17" t="s">
        <v>83</v>
      </c>
      <c r="D277" s="70"/>
      <c r="E277" s="70"/>
      <c r="F277" s="67"/>
      <c r="G277" s="67">
        <v>210</v>
      </c>
      <c r="H277" s="117">
        <f>21.65*1000</f>
        <v>21650</v>
      </c>
      <c r="I277" s="67"/>
      <c r="J277" s="22"/>
      <c r="K277" s="22"/>
      <c r="L277" s="22"/>
      <c r="M277" s="22"/>
      <c r="N277" s="22">
        <f t="shared" si="61"/>
        <v>21860</v>
      </c>
      <c r="O277" s="136"/>
      <c r="P277" s="139"/>
      <c r="Q277" s="23"/>
    </row>
    <row r="278" spans="1:17" ht="29.25" customHeight="1" x14ac:dyDescent="0.25">
      <c r="A278" s="151" t="s">
        <v>99</v>
      </c>
      <c r="B278" s="17" t="s">
        <v>5</v>
      </c>
      <c r="C278" s="17" t="s">
        <v>22</v>
      </c>
      <c r="D278" s="72"/>
      <c r="E278" s="72"/>
      <c r="F278" s="67"/>
      <c r="G278" s="36">
        <v>1</v>
      </c>
      <c r="H278" s="36">
        <v>1</v>
      </c>
      <c r="I278" s="67"/>
      <c r="J278" s="22"/>
      <c r="K278" s="22"/>
      <c r="L278" s="22"/>
      <c r="M278" s="22"/>
      <c r="N278" s="22">
        <f t="shared" si="61"/>
        <v>2</v>
      </c>
      <c r="O278" s="136"/>
      <c r="P278" s="139"/>
      <c r="Q278" s="23"/>
    </row>
    <row r="279" spans="1:17" ht="66.75" customHeight="1" x14ac:dyDescent="0.25">
      <c r="A279" s="151"/>
      <c r="B279" s="17" t="s">
        <v>82</v>
      </c>
      <c r="C279" s="17" t="s">
        <v>83</v>
      </c>
      <c r="D279" s="70"/>
      <c r="E279" s="70"/>
      <c r="F279" s="67"/>
      <c r="G279" s="117">
        <f>0.22*1000</f>
        <v>220</v>
      </c>
      <c r="H279" s="117">
        <f>26.38*1000</f>
        <v>26380</v>
      </c>
      <c r="I279" s="67"/>
      <c r="J279" s="22"/>
      <c r="K279" s="22"/>
      <c r="L279" s="22"/>
      <c r="M279" s="22"/>
      <c r="N279" s="22">
        <f t="shared" si="61"/>
        <v>26600</v>
      </c>
      <c r="O279" s="136"/>
      <c r="P279" s="139"/>
      <c r="Q279" s="23"/>
    </row>
    <row r="280" spans="1:17" ht="29.25" customHeight="1" x14ac:dyDescent="0.25">
      <c r="A280" s="151" t="s">
        <v>100</v>
      </c>
      <c r="B280" s="17" t="s">
        <v>5</v>
      </c>
      <c r="C280" s="17" t="s">
        <v>22</v>
      </c>
      <c r="D280" s="67"/>
      <c r="E280" s="36"/>
      <c r="F280" s="67"/>
      <c r="G280" s="36">
        <v>1</v>
      </c>
      <c r="H280" s="36">
        <v>1</v>
      </c>
      <c r="I280" s="67"/>
      <c r="J280" s="22"/>
      <c r="K280" s="22"/>
      <c r="L280" s="22"/>
      <c r="M280" s="22"/>
      <c r="N280" s="22">
        <f t="shared" si="61"/>
        <v>2</v>
      </c>
      <c r="O280" s="137"/>
      <c r="P280" s="140"/>
      <c r="Q280" s="23"/>
    </row>
    <row r="281" spans="1:17" ht="63.75" customHeight="1" x14ac:dyDescent="0.25">
      <c r="A281" s="151"/>
      <c r="B281" s="17" t="s">
        <v>82</v>
      </c>
      <c r="C281" s="17" t="s">
        <v>83</v>
      </c>
      <c r="D281" s="67"/>
      <c r="E281" s="117"/>
      <c r="F281" s="67"/>
      <c r="G281" s="117">
        <f>0.26*1000</f>
        <v>260</v>
      </c>
      <c r="H281" s="117">
        <f>28.13*1000</f>
        <v>28130</v>
      </c>
      <c r="I281" s="67"/>
      <c r="J281" s="22"/>
      <c r="K281" s="22"/>
      <c r="L281" s="22"/>
      <c r="M281" s="22"/>
      <c r="N281" s="22">
        <f t="shared" si="61"/>
        <v>28390</v>
      </c>
      <c r="O281" s="135" t="s">
        <v>115</v>
      </c>
      <c r="P281" s="138" t="s">
        <v>53</v>
      </c>
      <c r="Q281" s="23"/>
    </row>
    <row r="282" spans="1:17" ht="29.25" customHeight="1" x14ac:dyDescent="0.25">
      <c r="A282" s="151" t="s">
        <v>101</v>
      </c>
      <c r="B282" s="17" t="s">
        <v>5</v>
      </c>
      <c r="C282" s="17" t="s">
        <v>22</v>
      </c>
      <c r="D282" s="67"/>
      <c r="E282" s="36"/>
      <c r="F282" s="67"/>
      <c r="G282" s="36">
        <v>1</v>
      </c>
      <c r="H282" s="36">
        <v>1</v>
      </c>
      <c r="I282" s="67"/>
      <c r="J282" s="22"/>
      <c r="K282" s="22"/>
      <c r="L282" s="22"/>
      <c r="M282" s="22"/>
      <c r="N282" s="22">
        <f t="shared" si="61"/>
        <v>2</v>
      </c>
      <c r="O282" s="136"/>
      <c r="P282" s="139"/>
      <c r="Q282" s="23"/>
    </row>
    <row r="283" spans="1:17" ht="56.25" customHeight="1" x14ac:dyDescent="0.25">
      <c r="A283" s="151"/>
      <c r="B283" s="17" t="s">
        <v>82</v>
      </c>
      <c r="C283" s="17" t="s">
        <v>83</v>
      </c>
      <c r="D283" s="67"/>
      <c r="E283" s="117"/>
      <c r="F283" s="67"/>
      <c r="G283" s="117">
        <f>0.18*1000</f>
        <v>180</v>
      </c>
      <c r="H283" s="117">
        <f>17.33*1000</f>
        <v>17330</v>
      </c>
      <c r="I283" s="67"/>
      <c r="J283" s="22"/>
      <c r="K283" s="22"/>
      <c r="L283" s="22"/>
      <c r="M283" s="22"/>
      <c r="N283" s="22">
        <f t="shared" si="61"/>
        <v>17510</v>
      </c>
      <c r="O283" s="136"/>
      <c r="P283" s="139"/>
      <c r="Q283" s="23"/>
    </row>
    <row r="284" spans="1:17" ht="29.25" customHeight="1" x14ac:dyDescent="0.25">
      <c r="A284" s="151" t="s">
        <v>102</v>
      </c>
      <c r="B284" s="17" t="s">
        <v>5</v>
      </c>
      <c r="C284" s="17" t="s">
        <v>22</v>
      </c>
      <c r="D284" s="67"/>
      <c r="E284" s="36">
        <v>1</v>
      </c>
      <c r="F284" s="67"/>
      <c r="G284" s="67"/>
      <c r="H284" s="67"/>
      <c r="I284" s="67"/>
      <c r="J284" s="22"/>
      <c r="K284" s="22"/>
      <c r="L284" s="22"/>
      <c r="M284" s="22"/>
      <c r="N284" s="22">
        <f t="shared" si="61"/>
        <v>1</v>
      </c>
      <c r="O284" s="136"/>
      <c r="P284" s="139"/>
      <c r="Q284" s="23"/>
    </row>
    <row r="285" spans="1:17" ht="96" customHeight="1" x14ac:dyDescent="0.25">
      <c r="A285" s="151"/>
      <c r="B285" s="17" t="s">
        <v>82</v>
      </c>
      <c r="C285" s="17" t="s">
        <v>83</v>
      </c>
      <c r="D285" s="67"/>
      <c r="E285" s="117">
        <f>1.99*1000</f>
        <v>1990</v>
      </c>
      <c r="F285" s="67"/>
      <c r="G285" s="67"/>
      <c r="H285" s="67"/>
      <c r="I285" s="67"/>
      <c r="J285" s="22"/>
      <c r="K285" s="22"/>
      <c r="L285" s="22"/>
      <c r="M285" s="22"/>
      <c r="N285" s="22">
        <f t="shared" si="61"/>
        <v>1990</v>
      </c>
      <c r="O285" s="136"/>
      <c r="P285" s="139"/>
      <c r="Q285" s="23"/>
    </row>
    <row r="286" spans="1:17" ht="29.25" customHeight="1" x14ac:dyDescent="0.25">
      <c r="A286" s="151" t="s">
        <v>103</v>
      </c>
      <c r="B286" s="17" t="s">
        <v>5</v>
      </c>
      <c r="C286" s="17" t="s">
        <v>22</v>
      </c>
      <c r="D286" s="67"/>
      <c r="E286" s="36">
        <v>1</v>
      </c>
      <c r="F286" s="36"/>
      <c r="G286" s="67"/>
      <c r="H286" s="67"/>
      <c r="I286" s="67"/>
      <c r="J286" s="22"/>
      <c r="K286" s="22"/>
      <c r="L286" s="22"/>
      <c r="M286" s="22"/>
      <c r="N286" s="22">
        <f t="shared" si="61"/>
        <v>1</v>
      </c>
      <c r="O286" s="136"/>
      <c r="P286" s="139"/>
      <c r="Q286" s="23"/>
    </row>
    <row r="287" spans="1:17" ht="200.25" customHeight="1" x14ac:dyDescent="0.25">
      <c r="A287" s="151"/>
      <c r="B287" s="17" t="s">
        <v>82</v>
      </c>
      <c r="C287" s="17" t="s">
        <v>83</v>
      </c>
      <c r="D287" s="67"/>
      <c r="E287" s="67">
        <f>15.05*1000</f>
        <v>15050</v>
      </c>
      <c r="F287" s="117"/>
      <c r="G287" s="67"/>
      <c r="H287" s="67"/>
      <c r="I287" s="67"/>
      <c r="J287" s="22"/>
      <c r="K287" s="22"/>
      <c r="L287" s="22"/>
      <c r="M287" s="22"/>
      <c r="N287" s="22">
        <f t="shared" si="61"/>
        <v>15050</v>
      </c>
      <c r="O287" s="136"/>
      <c r="P287" s="139"/>
      <c r="Q287" s="23"/>
    </row>
    <row r="288" spans="1:17" ht="29.25" customHeight="1" x14ac:dyDescent="0.25">
      <c r="A288" s="151" t="s">
        <v>104</v>
      </c>
      <c r="B288" s="17" t="s">
        <v>5</v>
      </c>
      <c r="C288" s="17" t="s">
        <v>22</v>
      </c>
      <c r="D288" s="67"/>
      <c r="E288" s="36">
        <v>1</v>
      </c>
      <c r="F288" s="36">
        <v>1</v>
      </c>
      <c r="G288" s="36">
        <v>1</v>
      </c>
      <c r="H288" s="36"/>
      <c r="I288" s="36"/>
      <c r="J288" s="21"/>
      <c r="K288" s="21"/>
      <c r="L288" s="21"/>
      <c r="M288" s="21"/>
      <c r="N288" s="22">
        <f t="shared" si="61"/>
        <v>3</v>
      </c>
      <c r="O288" s="136"/>
      <c r="P288" s="139"/>
      <c r="Q288" s="23"/>
    </row>
    <row r="289" spans="1:17" ht="48" customHeight="1" x14ac:dyDescent="0.25">
      <c r="A289" s="151"/>
      <c r="B289" s="17" t="s">
        <v>82</v>
      </c>
      <c r="C289" s="17" t="s">
        <v>83</v>
      </c>
      <c r="D289" s="67"/>
      <c r="E289" s="117">
        <f>10.62*1000</f>
        <v>10620</v>
      </c>
      <c r="F289" s="117">
        <f>22.2*1000</f>
        <v>22200</v>
      </c>
      <c r="G289" s="117">
        <f>22.71*1000</f>
        <v>22710</v>
      </c>
      <c r="H289" s="117"/>
      <c r="I289" s="117"/>
      <c r="J289" s="22"/>
      <c r="K289" s="22"/>
      <c r="L289" s="22"/>
      <c r="M289" s="22"/>
      <c r="N289" s="22">
        <f t="shared" si="61"/>
        <v>55530</v>
      </c>
      <c r="O289" s="136"/>
      <c r="P289" s="139"/>
      <c r="Q289" s="23"/>
    </row>
    <row r="290" spans="1:17" ht="29.25" customHeight="1" x14ac:dyDescent="0.25">
      <c r="A290" s="151" t="s">
        <v>105</v>
      </c>
      <c r="B290" s="17" t="s">
        <v>5</v>
      </c>
      <c r="C290" s="17" t="s">
        <v>22</v>
      </c>
      <c r="D290" s="67"/>
      <c r="E290" s="36">
        <v>1</v>
      </c>
      <c r="F290" s="36"/>
      <c r="G290" s="67"/>
      <c r="H290" s="67"/>
      <c r="I290" s="67"/>
      <c r="J290" s="22"/>
      <c r="K290" s="22"/>
      <c r="L290" s="22"/>
      <c r="M290" s="22"/>
      <c r="N290" s="22">
        <f t="shared" si="61"/>
        <v>1</v>
      </c>
      <c r="O290" s="136"/>
      <c r="P290" s="139"/>
      <c r="Q290" s="23"/>
    </row>
    <row r="291" spans="1:17" ht="101.25" customHeight="1" x14ac:dyDescent="0.25">
      <c r="A291" s="151"/>
      <c r="B291" s="17" t="s">
        <v>82</v>
      </c>
      <c r="C291" s="17" t="s">
        <v>83</v>
      </c>
      <c r="D291" s="67"/>
      <c r="E291" s="117">
        <f>7.41*1000</f>
        <v>7410</v>
      </c>
      <c r="F291" s="117"/>
      <c r="G291" s="67"/>
      <c r="H291" s="67"/>
      <c r="I291" s="67"/>
      <c r="J291" s="22"/>
      <c r="K291" s="22"/>
      <c r="L291" s="22"/>
      <c r="M291" s="22"/>
      <c r="N291" s="22">
        <f t="shared" si="61"/>
        <v>7410</v>
      </c>
      <c r="O291" s="136"/>
      <c r="P291" s="139"/>
      <c r="Q291" s="23"/>
    </row>
    <row r="292" spans="1:17" ht="27.75" customHeight="1" x14ac:dyDescent="0.25">
      <c r="A292" s="151" t="s">
        <v>106</v>
      </c>
      <c r="B292" s="17" t="s">
        <v>5</v>
      </c>
      <c r="C292" s="17" t="s">
        <v>22</v>
      </c>
      <c r="D292" s="67"/>
      <c r="E292" s="36">
        <v>1</v>
      </c>
      <c r="F292" s="36"/>
      <c r="G292" s="67"/>
      <c r="H292" s="67"/>
      <c r="I292" s="67"/>
      <c r="J292" s="22"/>
      <c r="K292" s="22"/>
      <c r="L292" s="22"/>
      <c r="M292" s="22"/>
      <c r="N292" s="22">
        <f t="shared" si="61"/>
        <v>1</v>
      </c>
      <c r="O292" s="136"/>
      <c r="P292" s="139"/>
      <c r="Q292" s="23"/>
    </row>
    <row r="293" spans="1:17" ht="51" customHeight="1" x14ac:dyDescent="0.25">
      <c r="A293" s="151"/>
      <c r="B293" s="17" t="s">
        <v>82</v>
      </c>
      <c r="C293" s="17" t="s">
        <v>83</v>
      </c>
      <c r="D293" s="67"/>
      <c r="E293" s="117">
        <f>3.7*1000</f>
        <v>3700</v>
      </c>
      <c r="F293" s="117"/>
      <c r="G293" s="67"/>
      <c r="H293" s="67"/>
      <c r="I293" s="67"/>
      <c r="J293" s="22"/>
      <c r="K293" s="22"/>
      <c r="L293" s="22"/>
      <c r="M293" s="22"/>
      <c r="N293" s="22">
        <f t="shared" si="61"/>
        <v>3700</v>
      </c>
      <c r="O293" s="137"/>
      <c r="P293" s="140"/>
      <c r="Q293" s="23"/>
    </row>
    <row r="294" spans="1:17" ht="29.25" customHeight="1" x14ac:dyDescent="0.25">
      <c r="A294" s="151" t="s">
        <v>107</v>
      </c>
      <c r="B294" s="17" t="s">
        <v>5</v>
      </c>
      <c r="C294" s="17" t="s">
        <v>22</v>
      </c>
      <c r="D294" s="67"/>
      <c r="E294" s="36">
        <v>1</v>
      </c>
      <c r="F294" s="67"/>
      <c r="G294" s="36"/>
      <c r="H294" s="67"/>
      <c r="I294" s="67"/>
      <c r="J294" s="22"/>
      <c r="K294" s="22"/>
      <c r="L294" s="22"/>
      <c r="M294" s="22"/>
      <c r="N294" s="22">
        <f t="shared" si="61"/>
        <v>1</v>
      </c>
      <c r="O294" s="157" t="s">
        <v>114</v>
      </c>
      <c r="P294" s="138" t="s">
        <v>53</v>
      </c>
      <c r="Q294" s="23"/>
    </row>
    <row r="295" spans="1:17" ht="46.5" customHeight="1" x14ac:dyDescent="0.25">
      <c r="A295" s="151"/>
      <c r="B295" s="17" t="s">
        <v>82</v>
      </c>
      <c r="C295" s="17" t="s">
        <v>83</v>
      </c>
      <c r="D295" s="67"/>
      <c r="E295" s="117">
        <f>3.7*1000</f>
        <v>3700</v>
      </c>
      <c r="F295" s="67"/>
      <c r="G295" s="117"/>
      <c r="H295" s="67"/>
      <c r="I295" s="67"/>
      <c r="J295" s="22"/>
      <c r="K295" s="22"/>
      <c r="L295" s="22"/>
      <c r="M295" s="22"/>
      <c r="N295" s="22">
        <f t="shared" si="61"/>
        <v>3700</v>
      </c>
      <c r="O295" s="157"/>
      <c r="P295" s="139"/>
      <c r="Q295" s="23"/>
    </row>
    <row r="296" spans="1:17" ht="46.5" customHeight="1" x14ac:dyDescent="0.25">
      <c r="A296" s="151" t="s">
        <v>108</v>
      </c>
      <c r="B296" s="17" t="s">
        <v>5</v>
      </c>
      <c r="C296" s="17" t="s">
        <v>22</v>
      </c>
      <c r="D296" s="67"/>
      <c r="E296" s="36">
        <v>1</v>
      </c>
      <c r="F296" s="67"/>
      <c r="G296" s="36"/>
      <c r="H296" s="67"/>
      <c r="I296" s="67"/>
      <c r="J296" s="22"/>
      <c r="K296" s="22"/>
      <c r="L296" s="22"/>
      <c r="M296" s="22"/>
      <c r="N296" s="22">
        <f t="shared" si="61"/>
        <v>1</v>
      </c>
      <c r="O296" s="157"/>
      <c r="P296" s="139"/>
      <c r="Q296" s="23"/>
    </row>
    <row r="297" spans="1:17" ht="132.75" customHeight="1" x14ac:dyDescent="0.25">
      <c r="A297" s="151"/>
      <c r="B297" s="17" t="s">
        <v>82</v>
      </c>
      <c r="C297" s="17" t="s">
        <v>83</v>
      </c>
      <c r="D297" s="67"/>
      <c r="E297" s="117">
        <f>4.88*1000</f>
        <v>4880</v>
      </c>
      <c r="F297" s="67"/>
      <c r="G297" s="117"/>
      <c r="H297" s="67"/>
      <c r="I297" s="67"/>
      <c r="J297" s="22"/>
      <c r="K297" s="22"/>
      <c r="L297" s="22"/>
      <c r="M297" s="22"/>
      <c r="N297" s="22">
        <f t="shared" si="61"/>
        <v>4880</v>
      </c>
      <c r="O297" s="157"/>
      <c r="P297" s="139"/>
      <c r="Q297" s="23"/>
    </row>
    <row r="298" spans="1:17" ht="29.25" customHeight="1" x14ac:dyDescent="0.25">
      <c r="A298" s="151" t="s">
        <v>109</v>
      </c>
      <c r="B298" s="17" t="s">
        <v>5</v>
      </c>
      <c r="C298" s="17" t="s">
        <v>22</v>
      </c>
      <c r="D298" s="67"/>
      <c r="E298" s="67"/>
      <c r="F298" s="67"/>
      <c r="G298" s="36"/>
      <c r="H298" s="67"/>
      <c r="I298" s="36">
        <v>1</v>
      </c>
      <c r="J298" s="21">
        <v>1</v>
      </c>
      <c r="K298" s="21"/>
      <c r="L298" s="21"/>
      <c r="M298" s="21"/>
      <c r="N298" s="22">
        <f t="shared" si="61"/>
        <v>2</v>
      </c>
      <c r="O298" s="157"/>
      <c r="P298" s="139"/>
      <c r="Q298" s="23"/>
    </row>
    <row r="299" spans="1:17" ht="58.5" customHeight="1" x14ac:dyDescent="0.25">
      <c r="A299" s="151"/>
      <c r="B299" s="17" t="s">
        <v>82</v>
      </c>
      <c r="C299" s="17" t="s">
        <v>83</v>
      </c>
      <c r="D299" s="67"/>
      <c r="E299" s="67"/>
      <c r="F299" s="67"/>
      <c r="G299" s="117"/>
      <c r="H299" s="67"/>
      <c r="I299" s="117">
        <f>0.25*1000</f>
        <v>250</v>
      </c>
      <c r="J299" s="22">
        <f>2.51*1000</f>
        <v>2510</v>
      </c>
      <c r="K299" s="22"/>
      <c r="L299" s="22"/>
      <c r="M299" s="22"/>
      <c r="N299" s="22">
        <f t="shared" si="61"/>
        <v>2760</v>
      </c>
      <c r="O299" s="157"/>
      <c r="P299" s="139"/>
      <c r="Q299" s="23"/>
    </row>
    <row r="300" spans="1:17" ht="29.25" customHeight="1" x14ac:dyDescent="0.25">
      <c r="A300" s="151" t="s">
        <v>110</v>
      </c>
      <c r="B300" s="17" t="s">
        <v>5</v>
      </c>
      <c r="C300" s="17" t="s">
        <v>22</v>
      </c>
      <c r="D300" s="67"/>
      <c r="E300" s="36">
        <v>1</v>
      </c>
      <c r="F300" s="67"/>
      <c r="G300" s="67"/>
      <c r="H300" s="36"/>
      <c r="I300" s="67"/>
      <c r="J300" s="22"/>
      <c r="K300" s="22"/>
      <c r="L300" s="22"/>
      <c r="M300" s="22"/>
      <c r="N300" s="22">
        <f t="shared" si="61"/>
        <v>1</v>
      </c>
      <c r="O300" s="157"/>
      <c r="P300" s="139"/>
      <c r="Q300" s="23"/>
    </row>
    <row r="301" spans="1:17" ht="95.25" customHeight="1" x14ac:dyDescent="0.25">
      <c r="A301" s="151"/>
      <c r="B301" s="17" t="s">
        <v>82</v>
      </c>
      <c r="C301" s="17" t="s">
        <v>83</v>
      </c>
      <c r="D301" s="67"/>
      <c r="E301" s="117">
        <f>62.85*1000</f>
        <v>62850</v>
      </c>
      <c r="F301" s="67"/>
      <c r="G301" s="67"/>
      <c r="H301" s="117"/>
      <c r="I301" s="67"/>
      <c r="J301" s="22"/>
      <c r="K301" s="22"/>
      <c r="L301" s="22"/>
      <c r="M301" s="22"/>
      <c r="N301" s="22">
        <f t="shared" si="61"/>
        <v>62850</v>
      </c>
      <c r="O301" s="157"/>
      <c r="P301" s="139"/>
      <c r="Q301" s="23"/>
    </row>
    <row r="302" spans="1:17" ht="36.75" customHeight="1" x14ac:dyDescent="0.25">
      <c r="A302" s="151" t="s">
        <v>111</v>
      </c>
      <c r="B302" s="17" t="s">
        <v>5</v>
      </c>
      <c r="C302" s="17" t="s">
        <v>22</v>
      </c>
      <c r="D302" s="67"/>
      <c r="E302" s="67"/>
      <c r="F302" s="36">
        <v>1</v>
      </c>
      <c r="G302" s="36"/>
      <c r="H302" s="36"/>
      <c r="I302" s="36"/>
      <c r="J302" s="21"/>
      <c r="K302" s="21"/>
      <c r="L302" s="21"/>
      <c r="M302" s="21"/>
      <c r="N302" s="22">
        <f t="shared" si="61"/>
        <v>1</v>
      </c>
      <c r="O302" s="157"/>
      <c r="P302" s="139"/>
      <c r="Q302" s="23"/>
    </row>
    <row r="303" spans="1:17" ht="24.75" customHeight="1" x14ac:dyDescent="0.25">
      <c r="A303" s="151"/>
      <c r="B303" s="17" t="s">
        <v>82</v>
      </c>
      <c r="C303" s="17" t="s">
        <v>83</v>
      </c>
      <c r="D303" s="67"/>
      <c r="E303" s="67"/>
      <c r="F303" s="117">
        <f>8.94*1000</f>
        <v>8940</v>
      </c>
      <c r="G303" s="67"/>
      <c r="H303" s="117"/>
      <c r="I303" s="67"/>
      <c r="J303" s="22"/>
      <c r="K303" s="22"/>
      <c r="L303" s="22"/>
      <c r="M303" s="22"/>
      <c r="N303" s="22">
        <f t="shared" si="61"/>
        <v>8940</v>
      </c>
      <c r="O303" s="157"/>
      <c r="P303" s="139"/>
      <c r="Q303" s="23"/>
    </row>
    <row r="304" spans="1:17" ht="29.25" customHeight="1" x14ac:dyDescent="0.25">
      <c r="A304" s="151" t="s">
        <v>112</v>
      </c>
      <c r="B304" s="17" t="s">
        <v>5</v>
      </c>
      <c r="C304" s="17" t="s">
        <v>22</v>
      </c>
      <c r="D304" s="67"/>
      <c r="E304" s="36">
        <v>1</v>
      </c>
      <c r="F304" s="36"/>
      <c r="G304" s="36"/>
      <c r="H304" s="36"/>
      <c r="I304" s="36"/>
      <c r="J304" s="21"/>
      <c r="K304" s="21"/>
      <c r="L304" s="21"/>
      <c r="M304" s="21"/>
      <c r="N304" s="22">
        <f t="shared" si="61"/>
        <v>1</v>
      </c>
      <c r="O304" s="157"/>
      <c r="P304" s="139"/>
      <c r="Q304" s="23"/>
    </row>
    <row r="305" spans="1:18" ht="69" customHeight="1" x14ac:dyDescent="0.25">
      <c r="A305" s="151"/>
      <c r="B305" s="17" t="s">
        <v>82</v>
      </c>
      <c r="C305" s="17" t="s">
        <v>83</v>
      </c>
      <c r="D305" s="67"/>
      <c r="E305" s="117">
        <f>11.37*1000</f>
        <v>11370</v>
      </c>
      <c r="F305" s="117"/>
      <c r="G305" s="117"/>
      <c r="H305" s="117"/>
      <c r="I305" s="117"/>
      <c r="J305" s="22"/>
      <c r="K305" s="22"/>
      <c r="L305" s="22"/>
      <c r="M305" s="22"/>
      <c r="N305" s="22">
        <f t="shared" si="61"/>
        <v>11370</v>
      </c>
      <c r="O305" s="157"/>
      <c r="P305" s="140"/>
      <c r="Q305" s="23"/>
    </row>
    <row r="306" spans="1:18" ht="36" customHeight="1" x14ac:dyDescent="0.25">
      <c r="A306" s="151" t="s">
        <v>117</v>
      </c>
      <c r="B306" s="17" t="s">
        <v>5</v>
      </c>
      <c r="C306" s="17" t="s">
        <v>6</v>
      </c>
      <c r="D306" s="67"/>
      <c r="E306" s="67"/>
      <c r="F306" s="36">
        <v>1</v>
      </c>
      <c r="G306" s="67"/>
      <c r="H306" s="67"/>
      <c r="I306" s="36"/>
      <c r="J306" s="22"/>
      <c r="K306" s="22"/>
      <c r="L306" s="22"/>
      <c r="M306" s="22"/>
      <c r="N306" s="22">
        <f t="shared" si="61"/>
        <v>1</v>
      </c>
      <c r="O306" s="157" t="s">
        <v>120</v>
      </c>
      <c r="P306" s="138" t="s">
        <v>121</v>
      </c>
      <c r="Q306" s="23"/>
    </row>
    <row r="307" spans="1:18" ht="33.75" customHeight="1" x14ac:dyDescent="0.25">
      <c r="A307" s="151"/>
      <c r="B307" s="17" t="s">
        <v>82</v>
      </c>
      <c r="C307" s="17" t="s">
        <v>83</v>
      </c>
      <c r="D307" s="67"/>
      <c r="E307" s="67"/>
      <c r="F307" s="117">
        <v>6241.8</v>
      </c>
      <c r="G307" s="67"/>
      <c r="H307" s="67"/>
      <c r="I307" s="117"/>
      <c r="J307" s="22"/>
      <c r="K307" s="22"/>
      <c r="L307" s="22"/>
      <c r="M307" s="22"/>
      <c r="N307" s="22">
        <f t="shared" si="61"/>
        <v>6241.8</v>
      </c>
      <c r="O307" s="157"/>
      <c r="P307" s="139"/>
      <c r="Q307" s="23"/>
    </row>
    <row r="308" spans="1:18" ht="31.5" customHeight="1" x14ac:dyDescent="0.25">
      <c r="A308" s="173" t="s">
        <v>116</v>
      </c>
      <c r="B308" s="17" t="s">
        <v>5</v>
      </c>
      <c r="C308" s="17" t="s">
        <v>22</v>
      </c>
      <c r="D308" s="71"/>
      <c r="E308" s="71"/>
      <c r="F308" s="21">
        <v>1</v>
      </c>
      <c r="G308" s="71"/>
      <c r="H308" s="71"/>
      <c r="I308" s="71"/>
      <c r="J308" s="71"/>
      <c r="K308" s="71"/>
      <c r="L308" s="71"/>
      <c r="M308" s="71"/>
      <c r="N308" s="22">
        <f t="shared" si="61"/>
        <v>1</v>
      </c>
      <c r="O308" s="157"/>
      <c r="P308" s="139"/>
      <c r="Q308" s="23"/>
    </row>
    <row r="309" spans="1:18" ht="34.5" customHeight="1" x14ac:dyDescent="0.25">
      <c r="A309" s="174"/>
      <c r="B309" s="17" t="s">
        <v>82</v>
      </c>
      <c r="C309" s="17" t="s">
        <v>83</v>
      </c>
      <c r="D309" s="22"/>
      <c r="E309" s="22"/>
      <c r="F309" s="22">
        <v>300</v>
      </c>
      <c r="G309" s="22"/>
      <c r="H309" s="22"/>
      <c r="I309" s="22"/>
      <c r="J309" s="22"/>
      <c r="K309" s="22"/>
      <c r="L309" s="22"/>
      <c r="M309" s="22"/>
      <c r="N309" s="22">
        <f t="shared" si="61"/>
        <v>300</v>
      </c>
      <c r="O309" s="157"/>
      <c r="P309" s="139"/>
      <c r="Q309" s="23"/>
    </row>
    <row r="310" spans="1:18" ht="14.25" customHeight="1" x14ac:dyDescent="0.25">
      <c r="A310" s="173" t="s">
        <v>118</v>
      </c>
      <c r="B310" s="17" t="s">
        <v>5</v>
      </c>
      <c r="C310" s="17" t="s">
        <v>22</v>
      </c>
      <c r="D310" s="22"/>
      <c r="E310" s="22"/>
      <c r="F310" s="21">
        <v>1</v>
      </c>
      <c r="G310" s="22"/>
      <c r="H310" s="22"/>
      <c r="I310" s="22"/>
      <c r="J310" s="22"/>
      <c r="K310" s="22"/>
      <c r="L310" s="22"/>
      <c r="M310" s="22"/>
      <c r="N310" s="22">
        <f t="shared" si="61"/>
        <v>1</v>
      </c>
      <c r="O310" s="157"/>
      <c r="P310" s="139"/>
      <c r="Q310" s="23"/>
      <c r="R310" s="29"/>
    </row>
    <row r="311" spans="1:18" ht="51" customHeight="1" x14ac:dyDescent="0.25">
      <c r="A311" s="174"/>
      <c r="B311" s="17" t="s">
        <v>82</v>
      </c>
      <c r="C311" s="17" t="s">
        <v>83</v>
      </c>
      <c r="D311" s="22"/>
      <c r="E311" s="22"/>
      <c r="F311" s="22">
        <v>557</v>
      </c>
      <c r="G311" s="22"/>
      <c r="H311" s="22"/>
      <c r="I311" s="22"/>
      <c r="J311" s="22"/>
      <c r="K311" s="22"/>
      <c r="L311" s="22"/>
      <c r="M311" s="22"/>
      <c r="N311" s="22">
        <f t="shared" si="61"/>
        <v>557</v>
      </c>
      <c r="O311" s="157"/>
      <c r="P311" s="139"/>
      <c r="Q311" s="23"/>
    </row>
    <row r="312" spans="1:18" ht="60.75" customHeight="1" x14ac:dyDescent="0.25">
      <c r="A312" s="175" t="s">
        <v>119</v>
      </c>
      <c r="B312" s="17" t="s">
        <v>5</v>
      </c>
      <c r="C312" s="17" t="s">
        <v>22</v>
      </c>
      <c r="D312" s="22"/>
      <c r="E312" s="22"/>
      <c r="F312" s="21">
        <v>1</v>
      </c>
      <c r="G312" s="22"/>
      <c r="H312" s="22"/>
      <c r="I312" s="22"/>
      <c r="J312" s="22"/>
      <c r="K312" s="22"/>
      <c r="L312" s="22"/>
      <c r="M312" s="22"/>
      <c r="N312" s="22">
        <f t="shared" si="61"/>
        <v>1</v>
      </c>
      <c r="O312" s="157"/>
      <c r="P312" s="139"/>
      <c r="Q312" s="23"/>
    </row>
    <row r="313" spans="1:18" ht="175.5" customHeight="1" x14ac:dyDescent="0.25">
      <c r="A313" s="176"/>
      <c r="B313" s="17" t="s">
        <v>82</v>
      </c>
      <c r="C313" s="17" t="s">
        <v>83</v>
      </c>
      <c r="D313" s="22"/>
      <c r="E313" s="22"/>
      <c r="F313" s="22">
        <v>1044.8</v>
      </c>
      <c r="G313" s="22"/>
      <c r="H313" s="22"/>
      <c r="I313" s="22"/>
      <c r="J313" s="22"/>
      <c r="K313" s="22"/>
      <c r="L313" s="22"/>
      <c r="M313" s="22"/>
      <c r="N313" s="22">
        <f t="shared" si="61"/>
        <v>1044.8</v>
      </c>
      <c r="O313" s="157"/>
      <c r="P313" s="140"/>
      <c r="Q313" s="23"/>
    </row>
    <row r="314" spans="1:18" ht="63" hidden="1" customHeight="1" x14ac:dyDescent="0.25">
      <c r="A314" s="116"/>
      <c r="B314" s="118"/>
      <c r="C314" s="39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46"/>
      <c r="P314" s="66"/>
      <c r="Q314" s="23"/>
    </row>
    <row r="315" spans="1:18" ht="66" hidden="1" customHeight="1" x14ac:dyDescent="0.25">
      <c r="A315" s="151"/>
      <c r="B315" s="17"/>
      <c r="C315" s="17"/>
      <c r="D315" s="69"/>
      <c r="E315" s="69"/>
      <c r="F315" s="67"/>
      <c r="G315" s="67"/>
      <c r="H315" s="67"/>
      <c r="I315" s="67"/>
      <c r="J315" s="22"/>
      <c r="K315" s="117"/>
      <c r="L315" s="117"/>
      <c r="M315" s="117"/>
      <c r="N315" s="71"/>
      <c r="O315" s="32"/>
      <c r="P315" s="94"/>
      <c r="Q315" s="23"/>
    </row>
    <row r="316" spans="1:18" ht="78.75" hidden="1" customHeight="1" x14ac:dyDescent="0.25">
      <c r="A316" s="151"/>
      <c r="B316" s="17"/>
      <c r="C316" s="17"/>
      <c r="D316" s="70"/>
      <c r="E316" s="70"/>
      <c r="F316" s="67"/>
      <c r="G316" s="67"/>
      <c r="H316" s="67"/>
      <c r="I316" s="67"/>
      <c r="J316" s="22"/>
      <c r="K316" s="117"/>
      <c r="L316" s="117"/>
      <c r="M316" s="117"/>
      <c r="N316" s="22"/>
      <c r="O316" s="27"/>
      <c r="P316" s="28"/>
      <c r="Q316" s="23"/>
    </row>
    <row r="317" spans="1:18" ht="60.75" hidden="1" customHeight="1" x14ac:dyDescent="0.25">
      <c r="A317" s="151"/>
      <c r="B317" s="17"/>
      <c r="C317" s="17"/>
      <c r="D317" s="69"/>
      <c r="E317" s="69"/>
      <c r="F317" s="67"/>
      <c r="G317" s="67"/>
      <c r="H317" s="67"/>
      <c r="I317" s="67"/>
      <c r="J317" s="22"/>
      <c r="K317" s="117"/>
      <c r="L317" s="117"/>
      <c r="M317" s="117"/>
      <c r="N317" s="71"/>
      <c r="O317" s="27"/>
      <c r="P317" s="28"/>
      <c r="Q317" s="23"/>
    </row>
    <row r="318" spans="1:18" ht="75.75" hidden="1" customHeight="1" x14ac:dyDescent="0.25">
      <c r="A318" s="151"/>
      <c r="B318" s="17"/>
      <c r="C318" s="17"/>
      <c r="D318" s="69"/>
      <c r="E318" s="70"/>
      <c r="F318" s="67"/>
      <c r="G318" s="67"/>
      <c r="H318" s="67"/>
      <c r="I318" s="67"/>
      <c r="J318" s="22"/>
      <c r="K318" s="117"/>
      <c r="L318" s="117"/>
      <c r="M318" s="117"/>
      <c r="N318" s="22"/>
      <c r="O318" s="135"/>
      <c r="P318" s="138" t="s">
        <v>53</v>
      </c>
      <c r="Q318" s="23"/>
    </row>
    <row r="319" spans="1:18" ht="69" hidden="1" customHeight="1" x14ac:dyDescent="0.25">
      <c r="A319" s="151"/>
      <c r="B319" s="17"/>
      <c r="C319" s="17"/>
      <c r="D319" s="67"/>
      <c r="E319" s="117"/>
      <c r="F319" s="67"/>
      <c r="G319" s="67"/>
      <c r="H319" s="67"/>
      <c r="I319" s="67"/>
      <c r="J319" s="22"/>
      <c r="K319" s="117"/>
      <c r="L319" s="117"/>
      <c r="M319" s="117"/>
      <c r="N319" s="22"/>
      <c r="O319" s="136"/>
      <c r="P319" s="139"/>
      <c r="Q319" s="23"/>
    </row>
    <row r="320" spans="1:18" ht="57" hidden="1" customHeight="1" x14ac:dyDescent="0.25">
      <c r="A320" s="151"/>
      <c r="B320" s="17"/>
      <c r="C320" s="17"/>
      <c r="D320" s="67"/>
      <c r="E320" s="70"/>
      <c r="F320" s="67"/>
      <c r="G320" s="67"/>
      <c r="H320" s="67"/>
      <c r="I320" s="67"/>
      <c r="J320" s="22"/>
      <c r="K320" s="117"/>
      <c r="L320" s="117"/>
      <c r="M320" s="117"/>
      <c r="N320" s="22"/>
      <c r="O320" s="136"/>
      <c r="P320" s="139"/>
      <c r="Q320" s="23"/>
    </row>
    <row r="321" spans="1:17" ht="63.75" hidden="1" customHeight="1" x14ac:dyDescent="0.25">
      <c r="A321" s="151"/>
      <c r="B321" s="17"/>
      <c r="C321" s="17"/>
      <c r="D321" s="67"/>
      <c r="E321" s="67"/>
      <c r="F321" s="67"/>
      <c r="G321" s="67"/>
      <c r="H321" s="67"/>
      <c r="I321" s="67"/>
      <c r="J321" s="22"/>
      <c r="K321" s="117"/>
      <c r="L321" s="117"/>
      <c r="M321" s="117"/>
      <c r="N321" s="71"/>
      <c r="O321" s="136"/>
      <c r="P321" s="139"/>
      <c r="Q321" s="23"/>
    </row>
    <row r="322" spans="1:17" ht="48.75" hidden="1" customHeight="1" x14ac:dyDescent="0.25">
      <c r="A322" s="151"/>
      <c r="B322" s="17"/>
      <c r="C322" s="17"/>
      <c r="D322" s="67"/>
      <c r="E322" s="70"/>
      <c r="F322" s="67"/>
      <c r="G322" s="67"/>
      <c r="H322" s="67"/>
      <c r="I322" s="67"/>
      <c r="J322" s="22"/>
      <c r="K322" s="117"/>
      <c r="L322" s="117"/>
      <c r="M322" s="117"/>
      <c r="N322" s="22"/>
      <c r="O322" s="136"/>
      <c r="P322" s="139"/>
      <c r="Q322" s="23"/>
    </row>
    <row r="323" spans="1:17" ht="47.25" hidden="1" customHeight="1" x14ac:dyDescent="0.25">
      <c r="A323" s="151"/>
      <c r="B323" s="17"/>
      <c r="C323" s="17"/>
      <c r="D323" s="67"/>
      <c r="E323" s="67"/>
      <c r="F323" s="117"/>
      <c r="G323" s="67"/>
      <c r="H323" s="67"/>
      <c r="I323" s="67"/>
      <c r="J323" s="22"/>
      <c r="K323" s="117"/>
      <c r="L323" s="117"/>
      <c r="M323" s="117"/>
      <c r="N323" s="22"/>
      <c r="O323" s="136"/>
      <c r="P323" s="139"/>
      <c r="Q323" s="23"/>
    </row>
    <row r="324" spans="1:17" ht="56.25" hidden="1" customHeight="1" x14ac:dyDescent="0.25">
      <c r="A324" s="151"/>
      <c r="B324" s="17"/>
      <c r="C324" s="17"/>
      <c r="D324" s="67"/>
      <c r="E324" s="69"/>
      <c r="F324" s="70"/>
      <c r="G324" s="67"/>
      <c r="H324" s="67"/>
      <c r="I324" s="67"/>
      <c r="J324" s="22"/>
      <c r="K324" s="117"/>
      <c r="L324" s="117"/>
      <c r="M324" s="117"/>
      <c r="N324" s="22"/>
      <c r="O324" s="136"/>
      <c r="P324" s="139"/>
      <c r="Q324" s="23"/>
    </row>
    <row r="325" spans="1:17" ht="66" hidden="1" customHeight="1" x14ac:dyDescent="0.25">
      <c r="A325" s="151"/>
      <c r="B325" s="17"/>
      <c r="C325" s="17"/>
      <c r="D325" s="67"/>
      <c r="E325" s="67"/>
      <c r="F325" s="67"/>
      <c r="G325" s="67"/>
      <c r="H325" s="67"/>
      <c r="I325" s="67"/>
      <c r="J325" s="22"/>
      <c r="K325" s="117"/>
      <c r="L325" s="117"/>
      <c r="M325" s="117"/>
      <c r="N325" s="71"/>
      <c r="O325" s="136"/>
      <c r="P325" s="139"/>
      <c r="Q325" s="23"/>
    </row>
    <row r="326" spans="1:17" ht="0.75" hidden="1" customHeight="1" x14ac:dyDescent="0.25">
      <c r="A326" s="151"/>
      <c r="B326" s="17"/>
      <c r="C326" s="17"/>
      <c r="D326" s="67"/>
      <c r="E326" s="69"/>
      <c r="F326" s="70"/>
      <c r="G326" s="67"/>
      <c r="H326" s="67"/>
      <c r="I326" s="67"/>
      <c r="J326" s="22"/>
      <c r="K326" s="117"/>
      <c r="L326" s="117"/>
      <c r="M326" s="117"/>
      <c r="N326" s="22"/>
      <c r="O326" s="136"/>
      <c r="P326" s="139"/>
      <c r="Q326" s="23"/>
    </row>
    <row r="327" spans="1:17" ht="48.75" hidden="1" customHeight="1" x14ac:dyDescent="0.25">
      <c r="A327" s="151"/>
      <c r="B327" s="17"/>
      <c r="C327" s="17"/>
      <c r="D327" s="67"/>
      <c r="E327" s="67"/>
      <c r="F327" s="67"/>
      <c r="G327" s="67"/>
      <c r="H327" s="67"/>
      <c r="I327" s="67"/>
      <c r="J327" s="22"/>
      <c r="K327" s="117"/>
      <c r="L327" s="117"/>
      <c r="M327" s="117"/>
      <c r="N327" s="71"/>
      <c r="O327" s="136"/>
      <c r="P327" s="139"/>
      <c r="Q327" s="23"/>
    </row>
    <row r="328" spans="1:17" ht="52.5" hidden="1" customHeight="1" x14ac:dyDescent="0.25">
      <c r="A328" s="151"/>
      <c r="B328" s="17"/>
      <c r="C328" s="17"/>
      <c r="D328" s="67"/>
      <c r="E328" s="69"/>
      <c r="F328" s="69"/>
      <c r="G328" s="69"/>
      <c r="H328" s="67"/>
      <c r="I328" s="67"/>
      <c r="J328" s="22"/>
      <c r="K328" s="117"/>
      <c r="L328" s="117"/>
      <c r="M328" s="117"/>
      <c r="N328" s="22"/>
      <c r="O328" s="136"/>
      <c r="P328" s="139"/>
      <c r="Q328" s="23"/>
    </row>
    <row r="329" spans="1:17" ht="61.5" hidden="1" customHeight="1" x14ac:dyDescent="0.25">
      <c r="A329" s="151"/>
      <c r="B329" s="17"/>
      <c r="C329" s="17"/>
      <c r="D329" s="67"/>
      <c r="E329" s="67"/>
      <c r="F329" s="67"/>
      <c r="G329" s="67"/>
      <c r="H329" s="67"/>
      <c r="I329" s="67"/>
      <c r="J329" s="22"/>
      <c r="K329" s="117"/>
      <c r="L329" s="117"/>
      <c r="M329" s="117"/>
      <c r="N329" s="71"/>
      <c r="O329" s="136"/>
      <c r="P329" s="139"/>
      <c r="Q329" s="23"/>
    </row>
    <row r="330" spans="1:17" ht="60.75" hidden="1" customHeight="1" x14ac:dyDescent="0.25">
      <c r="A330" s="151"/>
      <c r="B330" s="17"/>
      <c r="C330" s="17"/>
      <c r="D330" s="67"/>
      <c r="E330" s="69"/>
      <c r="F330" s="69"/>
      <c r="G330" s="70"/>
      <c r="H330" s="67"/>
      <c r="I330" s="67"/>
      <c r="J330" s="22"/>
      <c r="K330" s="117"/>
      <c r="L330" s="117"/>
      <c r="M330" s="117"/>
      <c r="N330" s="22"/>
      <c r="O330" s="136"/>
      <c r="P330" s="139"/>
      <c r="Q330" s="23"/>
    </row>
    <row r="331" spans="1:17" ht="56.25" hidden="1" customHeight="1" x14ac:dyDescent="0.25">
      <c r="A331" s="151"/>
      <c r="B331" s="17"/>
      <c r="C331" s="17"/>
      <c r="D331" s="67"/>
      <c r="E331" s="67"/>
      <c r="F331" s="67"/>
      <c r="G331" s="117"/>
      <c r="H331" s="67"/>
      <c r="I331" s="67"/>
      <c r="J331" s="22"/>
      <c r="K331" s="117"/>
      <c r="L331" s="117"/>
      <c r="M331" s="117"/>
      <c r="N331" s="22"/>
      <c r="O331" s="136"/>
      <c r="P331" s="139"/>
      <c r="Q331" s="23"/>
    </row>
    <row r="332" spans="1:17" ht="77.25" hidden="1" customHeight="1" x14ac:dyDescent="0.25">
      <c r="A332" s="151"/>
      <c r="B332" s="17"/>
      <c r="C332" s="17"/>
      <c r="D332" s="67"/>
      <c r="E332" s="67"/>
      <c r="F332" s="67"/>
      <c r="G332" s="117"/>
      <c r="H332" s="67"/>
      <c r="I332" s="67"/>
      <c r="J332" s="22"/>
      <c r="K332" s="117"/>
      <c r="L332" s="117"/>
      <c r="M332" s="117"/>
      <c r="N332" s="22"/>
      <c r="O332" s="43"/>
      <c r="P332" s="44"/>
      <c r="Q332" s="23"/>
    </row>
    <row r="333" spans="1:17" ht="60" hidden="1" customHeight="1" x14ac:dyDescent="0.25">
      <c r="A333" s="151"/>
      <c r="B333" s="17"/>
      <c r="C333" s="17"/>
      <c r="D333" s="67"/>
      <c r="E333" s="67"/>
      <c r="F333" s="67"/>
      <c r="G333" s="67"/>
      <c r="H333" s="117"/>
      <c r="I333" s="67"/>
      <c r="J333" s="22"/>
      <c r="K333" s="117"/>
      <c r="L333" s="117"/>
      <c r="M333" s="117"/>
      <c r="N333" s="22"/>
      <c r="O333" s="43"/>
      <c r="P333" s="44"/>
      <c r="Q333" s="23"/>
    </row>
    <row r="334" spans="1:17" ht="54" hidden="1" customHeight="1" x14ac:dyDescent="0.25">
      <c r="A334" s="151"/>
      <c r="B334" s="17"/>
      <c r="C334" s="17"/>
      <c r="D334" s="67"/>
      <c r="E334" s="67"/>
      <c r="F334" s="67"/>
      <c r="G334" s="67"/>
      <c r="H334" s="117"/>
      <c r="I334" s="67"/>
      <c r="J334" s="22"/>
      <c r="K334" s="117"/>
      <c r="L334" s="117"/>
      <c r="M334" s="117"/>
      <c r="N334" s="22"/>
      <c r="O334" s="43"/>
      <c r="P334" s="44"/>
      <c r="Q334" s="23"/>
    </row>
    <row r="335" spans="1:17" ht="54.75" hidden="1" customHeight="1" x14ac:dyDescent="0.25">
      <c r="A335" s="151"/>
      <c r="B335" s="17"/>
      <c r="C335" s="17"/>
      <c r="D335" s="67"/>
      <c r="E335" s="67"/>
      <c r="F335" s="67"/>
      <c r="G335" s="67"/>
      <c r="H335" s="67"/>
      <c r="I335" s="67"/>
      <c r="J335" s="22"/>
      <c r="K335" s="117"/>
      <c r="L335" s="117"/>
      <c r="M335" s="117"/>
      <c r="N335" s="71"/>
      <c r="O335" s="43"/>
      <c r="P335" s="44"/>
      <c r="Q335" s="23"/>
    </row>
    <row r="336" spans="1:17" ht="56.25" hidden="1" customHeight="1" x14ac:dyDescent="0.25">
      <c r="A336" s="151"/>
      <c r="B336" s="17"/>
      <c r="C336" s="17"/>
      <c r="D336" s="67"/>
      <c r="E336" s="67"/>
      <c r="F336" s="67"/>
      <c r="G336" s="67"/>
      <c r="H336" s="117"/>
      <c r="I336" s="67"/>
      <c r="J336" s="22"/>
      <c r="K336" s="117"/>
      <c r="L336" s="117"/>
      <c r="M336" s="117"/>
      <c r="N336" s="22"/>
      <c r="O336" s="43"/>
      <c r="P336" s="44"/>
      <c r="Q336" s="23"/>
    </row>
    <row r="337" spans="1:17" ht="40.5" hidden="1" customHeight="1" x14ac:dyDescent="0.25">
      <c r="A337" s="151"/>
      <c r="B337" s="17"/>
      <c r="C337" s="17"/>
      <c r="D337" s="67"/>
      <c r="E337" s="67"/>
      <c r="F337" s="67"/>
      <c r="G337" s="67"/>
      <c r="H337" s="67"/>
      <c r="I337" s="67"/>
      <c r="J337" s="22"/>
      <c r="K337" s="117"/>
      <c r="L337" s="117"/>
      <c r="M337" s="117"/>
      <c r="N337" s="71"/>
      <c r="O337" s="43"/>
      <c r="P337" s="44"/>
      <c r="Q337" s="23"/>
    </row>
    <row r="338" spans="1:17" ht="42.75" hidden="1" customHeight="1" x14ac:dyDescent="0.25">
      <c r="A338" s="151"/>
      <c r="B338" s="17"/>
      <c r="C338" s="17"/>
      <c r="D338" s="67"/>
      <c r="E338" s="67"/>
      <c r="F338" s="67"/>
      <c r="G338" s="69"/>
      <c r="H338" s="69"/>
      <c r="I338" s="70"/>
      <c r="J338" s="22"/>
      <c r="K338" s="117"/>
      <c r="L338" s="117"/>
      <c r="M338" s="117"/>
      <c r="N338" s="71"/>
      <c r="O338" s="46"/>
      <c r="P338" s="66"/>
      <c r="Q338" s="23"/>
    </row>
    <row r="339" spans="1:17" ht="46.5" hidden="1" customHeight="1" x14ac:dyDescent="0.25">
      <c r="A339" s="151"/>
      <c r="B339" s="17"/>
      <c r="C339" s="17"/>
      <c r="D339" s="67"/>
      <c r="E339" s="67"/>
      <c r="F339" s="67"/>
      <c r="G339" s="67"/>
      <c r="H339" s="67"/>
      <c r="I339" s="67"/>
      <c r="J339" s="22"/>
      <c r="K339" s="117"/>
      <c r="L339" s="117"/>
      <c r="M339" s="117"/>
      <c r="N339" s="71"/>
      <c r="O339" s="46"/>
      <c r="P339" s="66"/>
      <c r="Q339" s="23"/>
    </row>
    <row r="340" spans="1:17" ht="37.5" hidden="1" customHeight="1" x14ac:dyDescent="0.25">
      <c r="A340" s="151"/>
      <c r="B340" s="17"/>
      <c r="C340" s="17"/>
      <c r="D340" s="67"/>
      <c r="E340" s="67"/>
      <c r="F340" s="67"/>
      <c r="G340" s="67"/>
      <c r="H340" s="67"/>
      <c r="I340" s="117"/>
      <c r="J340" s="22"/>
      <c r="K340" s="117"/>
      <c r="L340" s="117"/>
      <c r="M340" s="117"/>
      <c r="N340" s="71"/>
      <c r="O340" s="46"/>
      <c r="P340" s="66"/>
      <c r="Q340" s="23"/>
    </row>
    <row r="341" spans="1:17" ht="39.75" hidden="1" customHeight="1" x14ac:dyDescent="0.25">
      <c r="A341" s="151"/>
      <c r="B341" s="17"/>
      <c r="C341" s="17"/>
      <c r="D341" s="67"/>
      <c r="E341" s="67"/>
      <c r="F341" s="67"/>
      <c r="G341" s="67"/>
      <c r="H341" s="67"/>
      <c r="I341" s="117"/>
      <c r="J341" s="22"/>
      <c r="K341" s="117"/>
      <c r="L341" s="117"/>
      <c r="M341" s="117"/>
      <c r="N341" s="71"/>
      <c r="O341" s="46"/>
      <c r="P341" s="66"/>
      <c r="Q341" s="23"/>
    </row>
    <row r="342" spans="1:17" ht="39" hidden="1" customHeight="1" x14ac:dyDescent="0.25">
      <c r="A342" s="151"/>
      <c r="B342" s="17"/>
      <c r="C342" s="17"/>
      <c r="D342" s="67"/>
      <c r="E342" s="67"/>
      <c r="F342" s="67"/>
      <c r="G342" s="67"/>
      <c r="H342" s="67"/>
      <c r="I342" s="117"/>
      <c r="J342" s="22"/>
      <c r="K342" s="117"/>
      <c r="L342" s="117"/>
      <c r="M342" s="117"/>
      <c r="N342" s="71"/>
      <c r="O342" s="46"/>
      <c r="P342" s="66"/>
      <c r="Q342" s="23"/>
    </row>
    <row r="343" spans="1:17" ht="41.25" hidden="1" customHeight="1" x14ac:dyDescent="0.25">
      <c r="A343" s="194"/>
      <c r="B343" s="17"/>
      <c r="C343" s="17"/>
      <c r="D343" s="117"/>
      <c r="E343" s="67"/>
      <c r="F343" s="67"/>
      <c r="G343" s="67"/>
      <c r="H343" s="67"/>
      <c r="I343" s="117"/>
      <c r="J343" s="22"/>
      <c r="K343" s="117"/>
      <c r="L343" s="117"/>
      <c r="M343" s="117"/>
      <c r="N343" s="22"/>
      <c r="O343" s="46"/>
      <c r="P343" s="66"/>
      <c r="Q343" s="23"/>
    </row>
    <row r="344" spans="1:17" ht="29.25" hidden="1" customHeight="1" x14ac:dyDescent="0.25">
      <c r="A344" s="195"/>
      <c r="B344" s="17"/>
      <c r="C344" s="17"/>
      <c r="D344" s="117"/>
      <c r="E344" s="67"/>
      <c r="F344" s="67"/>
      <c r="G344" s="67"/>
      <c r="H344" s="67"/>
      <c r="I344" s="117"/>
      <c r="J344" s="22"/>
      <c r="K344" s="117"/>
      <c r="L344" s="117"/>
      <c r="M344" s="117"/>
      <c r="N344" s="22"/>
      <c r="O344" s="46"/>
      <c r="P344" s="66"/>
      <c r="Q344" s="23"/>
    </row>
    <row r="345" spans="1:17" ht="31.5" hidden="1" customHeight="1" x14ac:dyDescent="0.25">
      <c r="A345" s="194"/>
      <c r="B345" s="17"/>
      <c r="C345" s="17"/>
      <c r="D345" s="117"/>
      <c r="E345" s="67"/>
      <c r="F345" s="67"/>
      <c r="G345" s="67"/>
      <c r="H345" s="67"/>
      <c r="I345" s="117"/>
      <c r="J345" s="22"/>
      <c r="K345" s="117"/>
      <c r="L345" s="117"/>
      <c r="M345" s="117"/>
      <c r="N345" s="22"/>
      <c r="O345" s="46"/>
      <c r="P345" s="66"/>
      <c r="Q345" s="23"/>
    </row>
    <row r="346" spans="1:17" ht="0.75" hidden="1" customHeight="1" x14ac:dyDescent="0.25">
      <c r="A346" s="195"/>
      <c r="B346" s="17"/>
      <c r="C346" s="17"/>
      <c r="D346" s="117"/>
      <c r="E346" s="67"/>
      <c r="F346" s="67"/>
      <c r="G346" s="67"/>
      <c r="H346" s="67"/>
      <c r="I346" s="117"/>
      <c r="J346" s="22"/>
      <c r="K346" s="117"/>
      <c r="L346" s="117"/>
      <c r="M346" s="117"/>
      <c r="N346" s="22"/>
      <c r="O346" s="46"/>
      <c r="P346" s="66"/>
      <c r="Q346" s="23"/>
    </row>
    <row r="347" spans="1:17" ht="23.25" customHeight="1" x14ac:dyDescent="0.25">
      <c r="A347" s="147" t="s">
        <v>49</v>
      </c>
      <c r="B347" s="25" t="s">
        <v>27</v>
      </c>
      <c r="C347" s="34" t="s">
        <v>10</v>
      </c>
      <c r="D347" s="25">
        <f>D348+D349+D350+D351</f>
        <v>0</v>
      </c>
      <c r="E347" s="25">
        <f t="shared" ref="E347:N347" si="62">E348+E349+E350+E351</f>
        <v>121570</v>
      </c>
      <c r="F347" s="25">
        <f t="shared" si="62"/>
        <v>39283.599999999999</v>
      </c>
      <c r="G347" s="25">
        <f t="shared" si="62"/>
        <v>23580</v>
      </c>
      <c r="H347" s="25">
        <f t="shared" si="62"/>
        <v>93490</v>
      </c>
      <c r="I347" s="25">
        <f t="shared" si="62"/>
        <v>250</v>
      </c>
      <c r="J347" s="25">
        <f t="shared" si="62"/>
        <v>2510</v>
      </c>
      <c r="K347" s="25">
        <f t="shared" si="62"/>
        <v>0</v>
      </c>
      <c r="L347" s="25">
        <f t="shared" si="62"/>
        <v>0</v>
      </c>
      <c r="M347" s="25">
        <f t="shared" si="62"/>
        <v>0</v>
      </c>
      <c r="N347" s="25">
        <f t="shared" si="62"/>
        <v>280683.59999999998</v>
      </c>
      <c r="O347" s="27"/>
      <c r="P347" s="28"/>
      <c r="Q347" s="14"/>
    </row>
    <row r="348" spans="1:17" ht="24" customHeight="1" x14ac:dyDescent="0.25">
      <c r="A348" s="147"/>
      <c r="B348" s="33" t="s">
        <v>16</v>
      </c>
      <c r="C348" s="34" t="s">
        <v>10</v>
      </c>
      <c r="D348" s="96">
        <f t="shared" ref="D348:M348" si="63">D272+D311</f>
        <v>0</v>
      </c>
      <c r="E348" s="96">
        <f t="shared" si="63"/>
        <v>0</v>
      </c>
      <c r="F348" s="96">
        <v>0</v>
      </c>
      <c r="G348" s="96">
        <f t="shared" si="63"/>
        <v>0</v>
      </c>
      <c r="H348" s="96">
        <f t="shared" si="63"/>
        <v>0</v>
      </c>
      <c r="I348" s="96">
        <f t="shared" si="63"/>
        <v>0</v>
      </c>
      <c r="J348" s="96">
        <f t="shared" si="63"/>
        <v>0</v>
      </c>
      <c r="K348" s="96">
        <f t="shared" si="63"/>
        <v>0</v>
      </c>
      <c r="L348" s="96">
        <f t="shared" si="63"/>
        <v>0</v>
      </c>
      <c r="M348" s="96">
        <f t="shared" si="63"/>
        <v>0</v>
      </c>
      <c r="N348" s="96">
        <f>D348+E348+F348+G348+H348+I348+J348+K348+L348</f>
        <v>0</v>
      </c>
      <c r="O348" s="27"/>
      <c r="P348" s="28"/>
      <c r="Q348" s="14"/>
    </row>
    <row r="349" spans="1:17" ht="34.5" customHeight="1" x14ac:dyDescent="0.25">
      <c r="A349" s="147"/>
      <c r="B349" s="33" t="s">
        <v>12</v>
      </c>
      <c r="C349" s="34" t="s">
        <v>10</v>
      </c>
      <c r="D349" s="96">
        <f t="shared" ref="D349:M349" si="64">D273+D312</f>
        <v>0</v>
      </c>
      <c r="E349" s="96">
        <f t="shared" si="64"/>
        <v>0</v>
      </c>
      <c r="F349" s="96">
        <v>0</v>
      </c>
      <c r="G349" s="96">
        <f t="shared" si="64"/>
        <v>0</v>
      </c>
      <c r="H349" s="96">
        <f t="shared" si="64"/>
        <v>0</v>
      </c>
      <c r="I349" s="96">
        <f t="shared" si="64"/>
        <v>0</v>
      </c>
      <c r="J349" s="96">
        <f t="shared" si="64"/>
        <v>0</v>
      </c>
      <c r="K349" s="96">
        <f t="shared" si="64"/>
        <v>0</v>
      </c>
      <c r="L349" s="96">
        <f t="shared" si="64"/>
        <v>0</v>
      </c>
      <c r="M349" s="96">
        <f t="shared" si="64"/>
        <v>0</v>
      </c>
      <c r="N349" s="96">
        <f>D349+E349+F349+G349+H349+I349+J349+K349+L349</f>
        <v>0</v>
      </c>
      <c r="O349" s="27"/>
      <c r="P349" s="28"/>
      <c r="Q349" s="14"/>
    </row>
    <row r="350" spans="1:17" ht="28.5" customHeight="1" x14ac:dyDescent="0.25">
      <c r="A350" s="147"/>
      <c r="B350" s="33" t="s">
        <v>8</v>
      </c>
      <c r="C350" s="34" t="s">
        <v>10</v>
      </c>
      <c r="D350" s="96">
        <f t="shared" ref="D350:E350" si="65">D274+D313</f>
        <v>0</v>
      </c>
      <c r="E350" s="25">
        <f t="shared" si="65"/>
        <v>0</v>
      </c>
      <c r="F350" s="25">
        <f>F274</f>
        <v>8143.6</v>
      </c>
      <c r="G350" s="96">
        <f t="shared" ref="G350:M350" si="66">G274</f>
        <v>0</v>
      </c>
      <c r="H350" s="96">
        <f t="shared" si="66"/>
        <v>0</v>
      </c>
      <c r="I350" s="96">
        <f t="shared" si="66"/>
        <v>0</v>
      </c>
      <c r="J350" s="96">
        <f t="shared" si="66"/>
        <v>0</v>
      </c>
      <c r="K350" s="96">
        <f t="shared" si="66"/>
        <v>0</v>
      </c>
      <c r="L350" s="96">
        <f t="shared" si="66"/>
        <v>0</v>
      </c>
      <c r="M350" s="96">
        <f t="shared" si="66"/>
        <v>0</v>
      </c>
      <c r="N350" s="25">
        <f>D350+E350+F350+G350+H350+I350+J350+K350+L350+M350</f>
        <v>8143.6</v>
      </c>
      <c r="O350" s="27"/>
      <c r="P350" s="28"/>
      <c r="Q350" s="14"/>
    </row>
    <row r="351" spans="1:17" ht="45.75" customHeight="1" x14ac:dyDescent="0.25">
      <c r="A351" s="147"/>
      <c r="B351" s="33" t="s">
        <v>17</v>
      </c>
      <c r="C351" s="34" t="s">
        <v>10</v>
      </c>
      <c r="D351" s="96">
        <f t="shared" ref="D351:M351" si="67">D275+D314</f>
        <v>0</v>
      </c>
      <c r="E351" s="25">
        <f t="shared" si="67"/>
        <v>121570</v>
      </c>
      <c r="F351" s="25">
        <f t="shared" si="67"/>
        <v>31140</v>
      </c>
      <c r="G351" s="25">
        <f t="shared" si="67"/>
        <v>23580</v>
      </c>
      <c r="H351" s="25">
        <f t="shared" si="67"/>
        <v>93490</v>
      </c>
      <c r="I351" s="25">
        <f t="shared" si="67"/>
        <v>250</v>
      </c>
      <c r="J351" s="25">
        <f t="shared" si="67"/>
        <v>2510</v>
      </c>
      <c r="K351" s="96">
        <f t="shared" si="67"/>
        <v>0</v>
      </c>
      <c r="L351" s="96">
        <f t="shared" si="67"/>
        <v>0</v>
      </c>
      <c r="M351" s="96">
        <f t="shared" si="67"/>
        <v>0</v>
      </c>
      <c r="N351" s="25">
        <f>D351+E351+F351+G351+H351+I351+J351+K351+L351+M351</f>
        <v>272540</v>
      </c>
      <c r="O351" s="27"/>
      <c r="P351" s="28"/>
      <c r="Q351" s="14"/>
    </row>
    <row r="352" spans="1:17" ht="0.75" customHeight="1" x14ac:dyDescent="0.25">
      <c r="A352" s="170"/>
      <c r="B352" s="171"/>
      <c r="C352" s="171"/>
      <c r="D352" s="171"/>
      <c r="E352" s="171"/>
      <c r="F352" s="171"/>
      <c r="G352" s="171"/>
      <c r="H352" s="171"/>
      <c r="I352" s="171"/>
      <c r="J352" s="171"/>
      <c r="K352" s="171"/>
      <c r="L352" s="171"/>
      <c r="M352" s="171"/>
      <c r="N352" s="171"/>
      <c r="O352" s="171"/>
      <c r="P352" s="172"/>
      <c r="Q352" s="14"/>
    </row>
    <row r="353" spans="1:17" ht="18" hidden="1" customHeight="1" x14ac:dyDescent="0.25">
      <c r="A353" s="170"/>
      <c r="B353" s="171"/>
      <c r="C353" s="171"/>
      <c r="D353" s="171"/>
      <c r="E353" s="171"/>
      <c r="F353" s="171"/>
      <c r="G353" s="171"/>
      <c r="H353" s="171"/>
      <c r="I353" s="171"/>
      <c r="J353" s="171"/>
      <c r="K353" s="171"/>
      <c r="L353" s="171"/>
      <c r="M353" s="171"/>
      <c r="N353" s="171"/>
      <c r="O353" s="171"/>
      <c r="P353" s="172"/>
      <c r="Q353" s="14"/>
    </row>
    <row r="354" spans="1:17" ht="18" hidden="1" customHeight="1" x14ac:dyDescent="0.25">
      <c r="A354" s="150"/>
      <c r="B354" s="118"/>
      <c r="C354" s="119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135"/>
      <c r="P354" s="138"/>
      <c r="Q354" s="14"/>
    </row>
    <row r="355" spans="1:17" ht="18.75" hidden="1" customHeight="1" x14ac:dyDescent="0.25">
      <c r="A355" s="150"/>
      <c r="B355" s="118"/>
      <c r="C355" s="39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136"/>
      <c r="P355" s="139"/>
      <c r="Q355" s="14"/>
    </row>
    <row r="356" spans="1:17" ht="0.75" hidden="1" customHeight="1" x14ac:dyDescent="0.25">
      <c r="A356" s="150"/>
      <c r="B356" s="118"/>
      <c r="C356" s="39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136"/>
      <c r="P356" s="139"/>
      <c r="Q356" s="14"/>
    </row>
    <row r="357" spans="1:17" ht="24" hidden="1" customHeight="1" x14ac:dyDescent="0.25">
      <c r="A357" s="150"/>
      <c r="B357" s="118"/>
      <c r="C357" s="39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136"/>
      <c r="P357" s="139"/>
      <c r="Q357" s="14"/>
    </row>
    <row r="358" spans="1:17" ht="23.25" hidden="1" customHeight="1" x14ac:dyDescent="0.25">
      <c r="A358" s="150"/>
      <c r="B358" s="118"/>
      <c r="C358" s="39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136"/>
      <c r="P358" s="139"/>
      <c r="Q358" s="14"/>
    </row>
    <row r="359" spans="1:17" ht="15" hidden="1" customHeight="1" x14ac:dyDescent="0.25">
      <c r="A359" s="150"/>
      <c r="B359" s="118"/>
      <c r="C359" s="39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136"/>
      <c r="P359" s="139"/>
      <c r="Q359" s="14"/>
    </row>
    <row r="360" spans="1:17" ht="22.5" hidden="1" customHeight="1" x14ac:dyDescent="0.25">
      <c r="A360" s="150"/>
      <c r="B360" s="118"/>
      <c r="C360" s="39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136"/>
      <c r="P360" s="139"/>
      <c r="Q360" s="14"/>
    </row>
    <row r="361" spans="1:17" ht="22.5" hidden="1" customHeight="1" x14ac:dyDescent="0.25">
      <c r="A361" s="124"/>
      <c r="B361" s="22"/>
      <c r="C361" s="40"/>
      <c r="D361" s="22"/>
      <c r="E361" s="22"/>
      <c r="F361" s="21"/>
      <c r="G361" s="22"/>
      <c r="H361" s="22"/>
      <c r="I361" s="22"/>
      <c r="J361" s="22"/>
      <c r="K361" s="21"/>
      <c r="L361" s="22"/>
      <c r="M361" s="22"/>
      <c r="N361" s="21"/>
      <c r="O361" s="136"/>
      <c r="P361" s="139"/>
      <c r="Q361" s="14"/>
    </row>
    <row r="362" spans="1:17" ht="22.5" hidden="1" customHeight="1" x14ac:dyDescent="0.25">
      <c r="A362" s="125"/>
      <c r="B362" s="55"/>
      <c r="C362" s="47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137"/>
      <c r="P362" s="140"/>
      <c r="Q362" s="14"/>
    </row>
    <row r="363" spans="1:17" ht="26.25" hidden="1" customHeight="1" x14ac:dyDescent="0.25">
      <c r="A363" s="124"/>
      <c r="B363" s="22"/>
      <c r="C363" s="40"/>
      <c r="D363" s="22"/>
      <c r="E363" s="22"/>
      <c r="F363" s="21"/>
      <c r="G363" s="22"/>
      <c r="H363" s="22"/>
      <c r="I363" s="22"/>
      <c r="J363" s="22"/>
      <c r="K363" s="21"/>
      <c r="L363" s="22"/>
      <c r="M363" s="22"/>
      <c r="N363" s="21"/>
      <c r="O363" s="115"/>
      <c r="P363" s="111"/>
      <c r="Q363" s="14"/>
    </row>
    <row r="364" spans="1:17" ht="25.5" hidden="1" customHeight="1" x14ac:dyDescent="0.25">
      <c r="A364" s="125"/>
      <c r="B364" s="55"/>
      <c r="C364" s="47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115"/>
      <c r="P364" s="111"/>
      <c r="Q364" s="14"/>
    </row>
    <row r="365" spans="1:17" ht="26.25" hidden="1" customHeight="1" x14ac:dyDescent="0.25">
      <c r="A365" s="190"/>
      <c r="B365" s="118"/>
      <c r="C365" s="119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135"/>
      <c r="P365" s="138"/>
      <c r="Q365" s="14"/>
    </row>
    <row r="366" spans="1:17" ht="19.5" hidden="1" customHeight="1" x14ac:dyDescent="0.25">
      <c r="A366" s="191"/>
      <c r="B366" s="118"/>
      <c r="C366" s="39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136"/>
      <c r="P366" s="139"/>
      <c r="Q366" s="14"/>
    </row>
    <row r="367" spans="1:17" ht="19.5" hidden="1" customHeight="1" x14ac:dyDescent="0.25">
      <c r="A367" s="191"/>
      <c r="B367" s="118"/>
      <c r="C367" s="39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136"/>
      <c r="P367" s="139"/>
      <c r="Q367" s="14"/>
    </row>
    <row r="368" spans="1:17" ht="26.25" hidden="1" customHeight="1" x14ac:dyDescent="0.25">
      <c r="A368" s="191"/>
      <c r="B368" s="118"/>
      <c r="C368" s="39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136"/>
      <c r="P368" s="139"/>
      <c r="Q368" s="14"/>
    </row>
    <row r="369" spans="1:17" ht="22.5" hidden="1" customHeight="1" x14ac:dyDescent="0.25">
      <c r="A369" s="191"/>
      <c r="B369" s="118"/>
      <c r="C369" s="39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136"/>
      <c r="P369" s="139"/>
      <c r="Q369" s="14"/>
    </row>
    <row r="370" spans="1:17" ht="23.25" hidden="1" customHeight="1" x14ac:dyDescent="0.25">
      <c r="A370" s="191"/>
      <c r="B370" s="118"/>
      <c r="C370" s="39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136"/>
      <c r="P370" s="139"/>
      <c r="Q370" s="14"/>
    </row>
    <row r="371" spans="1:17" ht="25.5" hidden="1" customHeight="1" x14ac:dyDescent="0.25">
      <c r="A371" s="154"/>
      <c r="B371" s="118"/>
      <c r="C371" s="39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136"/>
      <c r="P371" s="139"/>
      <c r="Q371" s="14"/>
    </row>
    <row r="372" spans="1:17" ht="21" hidden="1" customHeight="1" x14ac:dyDescent="0.25">
      <c r="A372" s="124"/>
      <c r="B372" s="22"/>
      <c r="C372" s="40"/>
      <c r="D372" s="22"/>
      <c r="E372" s="22"/>
      <c r="F372" s="21"/>
      <c r="G372" s="22"/>
      <c r="H372" s="22"/>
      <c r="I372" s="22"/>
      <c r="J372" s="22"/>
      <c r="K372" s="22"/>
      <c r="L372" s="22"/>
      <c r="M372" s="22"/>
      <c r="N372" s="22"/>
      <c r="O372" s="136"/>
      <c r="P372" s="139"/>
      <c r="Q372" s="14"/>
    </row>
    <row r="373" spans="1:17" ht="25.5" hidden="1" customHeight="1" x14ac:dyDescent="0.25">
      <c r="A373" s="125"/>
      <c r="B373" s="55"/>
      <c r="C373" s="47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136"/>
      <c r="P373" s="139"/>
      <c r="Q373" s="14"/>
    </row>
    <row r="374" spans="1:17" ht="21.75" hidden="1" customHeight="1" x14ac:dyDescent="0.25">
      <c r="A374" s="124"/>
      <c r="B374" s="22"/>
      <c r="C374" s="40"/>
      <c r="D374" s="22"/>
      <c r="E374" s="22"/>
      <c r="F374" s="21"/>
      <c r="G374" s="22"/>
      <c r="H374" s="22"/>
      <c r="I374" s="22"/>
      <c r="J374" s="22"/>
      <c r="K374" s="22"/>
      <c r="L374" s="22"/>
      <c r="M374" s="22"/>
      <c r="N374" s="22"/>
      <c r="O374" s="136"/>
      <c r="P374" s="139"/>
      <c r="Q374" s="14"/>
    </row>
    <row r="375" spans="1:17" ht="27.75" hidden="1" customHeight="1" x14ac:dyDescent="0.25">
      <c r="A375" s="125"/>
      <c r="B375" s="55"/>
      <c r="C375" s="47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137"/>
      <c r="P375" s="140"/>
      <c r="Q375" s="14"/>
    </row>
    <row r="376" spans="1:17" ht="32.25" hidden="1" customHeight="1" x14ac:dyDescent="0.25">
      <c r="A376" s="155"/>
      <c r="B376" s="25"/>
      <c r="C376" s="34"/>
      <c r="D376" s="25"/>
      <c r="E376" s="25"/>
      <c r="F376" s="25"/>
      <c r="G376" s="25"/>
      <c r="H376" s="25"/>
      <c r="I376" s="25"/>
      <c r="J376" s="25"/>
      <c r="K376" s="25"/>
      <c r="L376" s="22"/>
      <c r="M376" s="22"/>
      <c r="N376" s="25"/>
      <c r="O376" s="27"/>
      <c r="P376" s="28"/>
      <c r="Q376" s="14"/>
    </row>
    <row r="377" spans="1:17" ht="28.5" hidden="1" customHeight="1" x14ac:dyDescent="0.25">
      <c r="A377" s="156"/>
      <c r="B377" s="33"/>
      <c r="C377" s="34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7"/>
      <c r="P377" s="28"/>
      <c r="Q377" s="14"/>
    </row>
    <row r="378" spans="1:17" ht="29.25" hidden="1" customHeight="1" x14ac:dyDescent="0.25">
      <c r="A378" s="156"/>
      <c r="B378" s="33"/>
      <c r="C378" s="34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7"/>
      <c r="P378" s="28"/>
      <c r="Q378" s="14"/>
    </row>
    <row r="379" spans="1:17" ht="33" hidden="1" customHeight="1" x14ac:dyDescent="0.25">
      <c r="A379" s="156"/>
      <c r="B379" s="33"/>
      <c r="C379" s="34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7"/>
      <c r="P379" s="28"/>
      <c r="Q379" s="14"/>
    </row>
    <row r="380" spans="1:17" ht="32.25" hidden="1" customHeight="1" x14ac:dyDescent="0.25">
      <c r="A380" s="146"/>
      <c r="B380" s="33"/>
      <c r="C380" s="34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7"/>
      <c r="P380" s="28"/>
      <c r="Q380" s="14"/>
    </row>
    <row r="381" spans="1:17" ht="24.75" customHeight="1" x14ac:dyDescent="0.25">
      <c r="A381" s="147" t="s">
        <v>47</v>
      </c>
      <c r="B381" s="33" t="s">
        <v>27</v>
      </c>
      <c r="C381" s="45" t="s">
        <v>10</v>
      </c>
      <c r="D381" s="25">
        <f>D382+D383+D384+D385</f>
        <v>61782.729999999996</v>
      </c>
      <c r="E381" s="25">
        <f t="shared" ref="E381:M381" si="68">E382+E383+E384+E385</f>
        <v>145625.70000000001</v>
      </c>
      <c r="F381" s="25">
        <f t="shared" si="68"/>
        <v>196681.47</v>
      </c>
      <c r="G381" s="25">
        <f t="shared" si="68"/>
        <v>436984.68999999994</v>
      </c>
      <c r="H381" s="25">
        <f t="shared" si="68"/>
        <v>323574.8</v>
      </c>
      <c r="I381" s="25">
        <f>I382+I383+I384+I385</f>
        <v>35176.1</v>
      </c>
      <c r="J381" s="25">
        <f>J382+J383+J384+J385</f>
        <v>19876</v>
      </c>
      <c r="K381" s="25">
        <f t="shared" si="68"/>
        <v>16000</v>
      </c>
      <c r="L381" s="25">
        <f t="shared" si="68"/>
        <v>6000</v>
      </c>
      <c r="M381" s="25">
        <f t="shared" si="68"/>
        <v>6000</v>
      </c>
      <c r="N381" s="25">
        <f>D381+E381+F381+G381+H381+I381+J381+K381+L381+M381</f>
        <v>1247701.49</v>
      </c>
      <c r="O381" s="27"/>
      <c r="P381" s="28"/>
      <c r="Q381" s="29"/>
    </row>
    <row r="382" spans="1:17" ht="26.25" customHeight="1" x14ac:dyDescent="0.25">
      <c r="A382" s="147"/>
      <c r="B382" s="33" t="s">
        <v>16</v>
      </c>
      <c r="C382" s="45" t="s">
        <v>10</v>
      </c>
      <c r="D382" s="96">
        <f t="shared" ref="D382:M382" si="69">D37+D162+D263+D348+D377</f>
        <v>0</v>
      </c>
      <c r="E382" s="96">
        <f t="shared" si="69"/>
        <v>0</v>
      </c>
      <c r="F382" s="96">
        <f t="shared" si="69"/>
        <v>0</v>
      </c>
      <c r="G382" s="96">
        <f t="shared" si="69"/>
        <v>0</v>
      </c>
      <c r="H382" s="96">
        <f t="shared" si="69"/>
        <v>0</v>
      </c>
      <c r="I382" s="96">
        <f t="shared" si="69"/>
        <v>0</v>
      </c>
      <c r="J382" s="96">
        <f t="shared" si="69"/>
        <v>0</v>
      </c>
      <c r="K382" s="96">
        <f t="shared" si="69"/>
        <v>0</v>
      </c>
      <c r="L382" s="96">
        <f t="shared" si="69"/>
        <v>0</v>
      </c>
      <c r="M382" s="96">
        <f t="shared" si="69"/>
        <v>0</v>
      </c>
      <c r="N382" s="96">
        <f>D382+E382+F382+G382+H382+I382+J382+K382+L382+M382</f>
        <v>0</v>
      </c>
      <c r="O382" s="27"/>
      <c r="P382" s="28"/>
      <c r="Q382" s="29"/>
    </row>
    <row r="383" spans="1:17" ht="29.25" customHeight="1" x14ac:dyDescent="0.25">
      <c r="A383" s="147"/>
      <c r="B383" s="33" t="s">
        <v>12</v>
      </c>
      <c r="C383" s="45" t="s">
        <v>10</v>
      </c>
      <c r="D383" s="25">
        <f t="shared" ref="D383:M383" si="70">D38+D163+D264+D349+D378</f>
        <v>45707.409999999996</v>
      </c>
      <c r="E383" s="25">
        <f t="shared" si="70"/>
        <v>6474.9000000000005</v>
      </c>
      <c r="F383" s="25">
        <f t="shared" si="70"/>
        <v>111344.24500000001</v>
      </c>
      <c r="G383" s="25">
        <f t="shared" si="70"/>
        <v>370471.11049999995</v>
      </c>
      <c r="H383" s="25">
        <f t="shared" si="70"/>
        <v>183359.97499999998</v>
      </c>
      <c r="I383" s="25">
        <f t="shared" si="70"/>
        <v>22085.125</v>
      </c>
      <c r="J383" s="25">
        <f t="shared" si="70"/>
        <v>4750</v>
      </c>
      <c r="K383" s="25">
        <f t="shared" si="70"/>
        <v>15200</v>
      </c>
      <c r="L383" s="96">
        <f t="shared" si="70"/>
        <v>5700</v>
      </c>
      <c r="M383" s="96">
        <f t="shared" si="70"/>
        <v>5700</v>
      </c>
      <c r="N383" s="25">
        <f>D383+E383+F383+G383+H383+I383+J383+K383+L383+M383</f>
        <v>770792.76549999986</v>
      </c>
      <c r="O383" s="27"/>
      <c r="P383" s="28"/>
      <c r="Q383" s="29"/>
    </row>
    <row r="384" spans="1:17" ht="32.25" customHeight="1" x14ac:dyDescent="0.25">
      <c r="A384" s="147"/>
      <c r="B384" s="33" t="s">
        <v>8</v>
      </c>
      <c r="C384" s="45" t="s">
        <v>10</v>
      </c>
      <c r="D384" s="25">
        <f t="shared" ref="D384:M384" si="71">D39+D164+D265+D350+D379</f>
        <v>6152.32</v>
      </c>
      <c r="E384" s="25">
        <f t="shared" si="71"/>
        <v>7338.8</v>
      </c>
      <c r="F384" s="25">
        <f t="shared" si="71"/>
        <v>43932.224999999999</v>
      </c>
      <c r="G384" s="25">
        <f t="shared" si="71"/>
        <v>32892.579500000007</v>
      </c>
      <c r="H384" s="25">
        <f t="shared" si="71"/>
        <v>36653.824999999997</v>
      </c>
      <c r="I384" s="25">
        <f t="shared" si="71"/>
        <v>5094.9750000000004</v>
      </c>
      <c r="J384" s="25">
        <f t="shared" si="71"/>
        <v>250</v>
      </c>
      <c r="K384" s="25">
        <f t="shared" si="71"/>
        <v>800</v>
      </c>
      <c r="L384" s="25">
        <f t="shared" si="71"/>
        <v>300</v>
      </c>
      <c r="M384" s="25">
        <f t="shared" si="71"/>
        <v>300</v>
      </c>
      <c r="N384" s="25">
        <f>D384+E384+F384+G384+H384+I384+J384+K384+L384+M384</f>
        <v>133714.72450000001</v>
      </c>
      <c r="O384" s="25"/>
      <c r="P384" s="48"/>
      <c r="Q384" s="29"/>
    </row>
    <row r="385" spans="1:17" ht="33.75" customHeight="1" thickBot="1" x14ac:dyDescent="0.3">
      <c r="A385" s="189"/>
      <c r="B385" s="49" t="s">
        <v>17</v>
      </c>
      <c r="C385" s="50" t="s">
        <v>10</v>
      </c>
      <c r="D385" s="51">
        <f t="shared" ref="D385:M385" si="72">D40+D165+D266+D351+D380</f>
        <v>9923</v>
      </c>
      <c r="E385" s="51">
        <f t="shared" si="72"/>
        <v>131812</v>
      </c>
      <c r="F385" s="51">
        <f t="shared" si="72"/>
        <v>41405</v>
      </c>
      <c r="G385" s="51">
        <f t="shared" si="72"/>
        <v>33621</v>
      </c>
      <c r="H385" s="51">
        <f t="shared" si="72"/>
        <v>103561</v>
      </c>
      <c r="I385" s="51">
        <f t="shared" si="72"/>
        <v>7996</v>
      </c>
      <c r="J385" s="51">
        <f t="shared" si="72"/>
        <v>14876</v>
      </c>
      <c r="K385" s="97">
        <f t="shared" si="72"/>
        <v>0</v>
      </c>
      <c r="L385" s="97">
        <f t="shared" si="72"/>
        <v>0</v>
      </c>
      <c r="M385" s="97">
        <f t="shared" si="72"/>
        <v>0</v>
      </c>
      <c r="N385" s="51">
        <f>D385+E385+F385+G385+H385+I385+J385+K385+L385+M385</f>
        <v>343194</v>
      </c>
      <c r="O385" s="51"/>
      <c r="P385" s="52"/>
      <c r="Q385" s="29"/>
    </row>
    <row r="386" spans="1:17" ht="51" customHeight="1" x14ac:dyDescent="0.25">
      <c r="Q386" s="14"/>
    </row>
    <row r="387" spans="1:17" ht="42" customHeight="1" x14ac:dyDescent="0.25">
      <c r="Q387" s="14"/>
    </row>
    <row r="388" spans="1:17" ht="21" customHeight="1" x14ac:dyDescent="0.25">
      <c r="Q388" s="14"/>
    </row>
    <row r="389" spans="1:17" x14ac:dyDescent="0.25">
      <c r="Q389" s="14"/>
    </row>
    <row r="390" spans="1:17" x14ac:dyDescent="0.25">
      <c r="Q390" s="14"/>
    </row>
    <row r="391" spans="1:17" x14ac:dyDescent="0.25">
      <c r="A391" s="14"/>
      <c r="B391" s="12"/>
      <c r="C391" s="53"/>
      <c r="D391" s="12"/>
      <c r="E391" s="12"/>
      <c r="F391" s="12"/>
      <c r="G391" s="54"/>
      <c r="H391" s="54"/>
      <c r="I391" s="54"/>
      <c r="J391" s="12"/>
      <c r="K391" s="12"/>
      <c r="L391" s="12"/>
      <c r="M391" s="12"/>
      <c r="N391" s="12"/>
      <c r="O391" s="12"/>
      <c r="P391" s="12"/>
      <c r="Q391" s="14"/>
    </row>
    <row r="392" spans="1:17" x14ac:dyDescent="0.25">
      <c r="A392" s="14"/>
      <c r="B392" s="12"/>
      <c r="C392" s="53"/>
      <c r="D392" s="12"/>
      <c r="E392" s="12"/>
      <c r="F392" s="12"/>
      <c r="G392" s="54"/>
      <c r="H392" s="54"/>
      <c r="I392" s="54"/>
      <c r="J392" s="12"/>
      <c r="K392" s="12"/>
      <c r="L392" s="12"/>
      <c r="M392" s="12"/>
      <c r="N392" s="12"/>
      <c r="O392" s="12"/>
      <c r="P392" s="12"/>
      <c r="Q392" s="14"/>
    </row>
    <row r="393" spans="1:17" x14ac:dyDescent="0.25">
      <c r="A393" s="14"/>
      <c r="B393" s="12"/>
      <c r="C393" s="53"/>
      <c r="D393" s="12"/>
      <c r="E393" s="12"/>
      <c r="F393" s="12"/>
      <c r="G393" s="54"/>
      <c r="H393" s="54"/>
      <c r="I393" s="54"/>
      <c r="J393" s="12"/>
      <c r="K393" s="12"/>
      <c r="L393" s="12"/>
      <c r="M393" s="12"/>
      <c r="N393" s="12"/>
      <c r="O393" s="12"/>
      <c r="P393" s="12"/>
      <c r="Q393" s="14"/>
    </row>
    <row r="394" spans="1:17" x14ac:dyDescent="0.25">
      <c r="A394" s="14"/>
      <c r="B394" s="12"/>
      <c r="C394" s="53"/>
      <c r="D394" s="12"/>
      <c r="E394" s="12"/>
      <c r="F394" s="12"/>
      <c r="G394" s="54"/>
      <c r="H394" s="54"/>
      <c r="I394" s="54"/>
      <c r="J394" s="12"/>
      <c r="K394" s="12"/>
      <c r="L394" s="12"/>
      <c r="M394" s="12"/>
      <c r="N394" s="12"/>
      <c r="O394" s="12"/>
      <c r="P394" s="12"/>
      <c r="Q394" s="14"/>
    </row>
    <row r="395" spans="1:17" x14ac:dyDescent="0.25">
      <c r="A395" s="14"/>
      <c r="B395" s="12"/>
      <c r="C395" s="53"/>
      <c r="D395" s="12"/>
      <c r="E395" s="12"/>
      <c r="F395" s="12"/>
      <c r="G395" s="54"/>
      <c r="H395" s="54"/>
      <c r="I395" s="54"/>
      <c r="J395" s="12"/>
      <c r="K395" s="12"/>
      <c r="L395" s="12"/>
      <c r="M395" s="12"/>
      <c r="N395" s="12"/>
      <c r="O395" s="12"/>
      <c r="P395" s="12"/>
      <c r="Q395" s="14"/>
    </row>
    <row r="396" spans="1:17" x14ac:dyDescent="0.25">
      <c r="A396" s="14"/>
      <c r="B396" s="12"/>
      <c r="C396" s="53"/>
      <c r="D396" s="12"/>
      <c r="E396" s="12"/>
      <c r="F396" s="12"/>
      <c r="G396" s="54"/>
      <c r="H396" s="54"/>
      <c r="I396" s="54"/>
      <c r="J396" s="12"/>
      <c r="K396" s="12"/>
      <c r="L396" s="12"/>
      <c r="M396" s="12"/>
      <c r="N396" s="12"/>
      <c r="O396" s="12"/>
      <c r="P396" s="12"/>
      <c r="Q396" s="14"/>
    </row>
    <row r="397" spans="1:17" x14ac:dyDescent="0.25">
      <c r="A397" s="14"/>
      <c r="B397" s="12"/>
      <c r="C397" s="53"/>
      <c r="D397" s="12"/>
      <c r="E397" s="12"/>
      <c r="F397" s="12"/>
      <c r="G397" s="54"/>
      <c r="H397" s="54"/>
      <c r="I397" s="54"/>
      <c r="J397" s="12"/>
      <c r="K397" s="12"/>
      <c r="L397" s="12"/>
      <c r="M397" s="12"/>
      <c r="N397" s="12"/>
      <c r="O397" s="12"/>
      <c r="P397" s="12"/>
      <c r="Q397" s="14"/>
    </row>
    <row r="398" spans="1:17" x14ac:dyDescent="0.25">
      <c r="A398" s="14"/>
      <c r="B398" s="12"/>
      <c r="C398" s="53"/>
      <c r="D398" s="12"/>
      <c r="E398" s="12"/>
      <c r="F398" s="12"/>
      <c r="G398" s="54"/>
      <c r="H398" s="54"/>
      <c r="I398" s="54"/>
      <c r="J398" s="12"/>
      <c r="K398" s="12"/>
      <c r="L398" s="12"/>
      <c r="M398" s="12"/>
      <c r="N398" s="12"/>
      <c r="O398" s="12"/>
      <c r="P398" s="12"/>
      <c r="Q398" s="14"/>
    </row>
    <row r="399" spans="1:17" x14ac:dyDescent="0.25">
      <c r="A399" s="14"/>
      <c r="B399" s="12"/>
      <c r="C399" s="53"/>
      <c r="D399" s="12"/>
      <c r="E399" s="12"/>
      <c r="F399" s="12"/>
      <c r="G399" s="54"/>
      <c r="H399" s="54"/>
      <c r="I399" s="54"/>
      <c r="J399" s="12"/>
      <c r="K399" s="12"/>
      <c r="L399" s="12"/>
      <c r="M399" s="12"/>
      <c r="N399" s="12"/>
      <c r="O399" s="12"/>
      <c r="P399" s="12"/>
      <c r="Q399" s="14"/>
    </row>
    <row r="400" spans="1:17" x14ac:dyDescent="0.25">
      <c r="A400" s="14"/>
      <c r="B400" s="12"/>
      <c r="C400" s="53"/>
      <c r="D400" s="12"/>
      <c r="E400" s="12"/>
      <c r="F400" s="12"/>
      <c r="G400" s="54"/>
      <c r="H400" s="54"/>
      <c r="I400" s="54"/>
      <c r="J400" s="12"/>
      <c r="K400" s="12"/>
      <c r="L400" s="12"/>
      <c r="M400" s="12"/>
      <c r="N400" s="12"/>
      <c r="O400" s="12"/>
      <c r="P400" s="12"/>
      <c r="Q400" s="14"/>
    </row>
    <row r="401" spans="2:16" s="14" customFormat="1" x14ac:dyDescent="0.25">
      <c r="B401" s="12"/>
      <c r="C401" s="53"/>
      <c r="D401" s="12"/>
      <c r="E401" s="12"/>
      <c r="F401" s="12"/>
      <c r="G401" s="54"/>
      <c r="H401" s="54"/>
      <c r="I401" s="54"/>
      <c r="J401" s="12"/>
      <c r="K401" s="12"/>
      <c r="L401" s="12"/>
      <c r="M401" s="12"/>
      <c r="N401" s="12"/>
      <c r="O401" s="12"/>
      <c r="P401" s="12"/>
    </row>
    <row r="402" spans="2:16" s="14" customFormat="1" x14ac:dyDescent="0.25">
      <c r="B402" s="12"/>
      <c r="C402" s="53"/>
      <c r="D402" s="12"/>
      <c r="E402" s="12"/>
      <c r="F402" s="12"/>
      <c r="G402" s="54"/>
      <c r="H402" s="54"/>
      <c r="I402" s="54"/>
      <c r="J402" s="12"/>
      <c r="K402" s="12"/>
      <c r="L402" s="12"/>
      <c r="M402" s="12"/>
      <c r="N402" s="12"/>
      <c r="O402" s="12"/>
      <c r="P402" s="12"/>
    </row>
    <row r="403" spans="2:16" s="14" customFormat="1" x14ac:dyDescent="0.25">
      <c r="B403" s="12"/>
      <c r="C403" s="53"/>
      <c r="D403" s="12"/>
      <c r="E403" s="12"/>
      <c r="F403" s="12"/>
      <c r="G403" s="54"/>
      <c r="H403" s="54"/>
      <c r="I403" s="54"/>
      <c r="J403" s="12"/>
      <c r="K403" s="12"/>
      <c r="L403" s="12"/>
      <c r="M403" s="12"/>
      <c r="N403" s="12"/>
      <c r="O403" s="12"/>
      <c r="P403" s="12"/>
    </row>
    <row r="404" spans="2:16" s="14" customFormat="1" x14ac:dyDescent="0.25">
      <c r="B404" s="12"/>
      <c r="C404" s="53"/>
      <c r="D404" s="12"/>
      <c r="E404" s="12"/>
      <c r="F404" s="12"/>
      <c r="G404" s="54"/>
      <c r="H404" s="54"/>
      <c r="I404" s="54"/>
      <c r="J404" s="12"/>
      <c r="K404" s="12"/>
      <c r="L404" s="12"/>
      <c r="M404" s="12"/>
      <c r="N404" s="12"/>
      <c r="O404" s="12"/>
      <c r="P404" s="12"/>
    </row>
    <row r="405" spans="2:16" s="14" customFormat="1" x14ac:dyDescent="0.25">
      <c r="B405" s="12"/>
      <c r="C405" s="53"/>
      <c r="D405" s="12"/>
      <c r="E405" s="12"/>
      <c r="F405" s="12"/>
      <c r="G405" s="54"/>
      <c r="H405" s="54"/>
      <c r="I405" s="54"/>
      <c r="J405" s="12"/>
      <c r="K405" s="12"/>
      <c r="L405" s="12"/>
      <c r="M405" s="12"/>
      <c r="N405" s="12"/>
      <c r="O405" s="12"/>
      <c r="P405" s="12"/>
    </row>
    <row r="406" spans="2:16" s="14" customFormat="1" x14ac:dyDescent="0.25">
      <c r="B406" s="12"/>
      <c r="C406" s="53"/>
      <c r="D406" s="12"/>
      <c r="E406" s="12"/>
      <c r="F406" s="12"/>
      <c r="G406" s="54"/>
      <c r="H406" s="54"/>
      <c r="I406" s="54"/>
      <c r="J406" s="12"/>
      <c r="K406" s="12"/>
      <c r="L406" s="12"/>
      <c r="M406" s="12"/>
      <c r="N406" s="12"/>
      <c r="O406" s="12"/>
      <c r="P406" s="12"/>
    </row>
    <row r="407" spans="2:16" s="14" customFormat="1" x14ac:dyDescent="0.25">
      <c r="B407" s="12"/>
      <c r="C407" s="53"/>
      <c r="D407" s="12"/>
      <c r="E407" s="12"/>
      <c r="F407" s="12"/>
      <c r="G407" s="54"/>
      <c r="H407" s="54"/>
      <c r="I407" s="54"/>
      <c r="J407" s="12"/>
      <c r="K407" s="12"/>
      <c r="L407" s="12"/>
      <c r="M407" s="12"/>
      <c r="N407" s="12"/>
      <c r="O407" s="12"/>
      <c r="P407" s="12"/>
    </row>
    <row r="408" spans="2:16" s="14" customFormat="1" x14ac:dyDescent="0.25">
      <c r="B408" s="12"/>
      <c r="C408" s="53"/>
      <c r="D408" s="12"/>
      <c r="E408" s="12"/>
      <c r="F408" s="12"/>
      <c r="G408" s="54"/>
      <c r="H408" s="54"/>
      <c r="I408" s="54"/>
      <c r="J408" s="12"/>
      <c r="K408" s="12"/>
      <c r="L408" s="12"/>
      <c r="M408" s="12"/>
      <c r="N408" s="12"/>
      <c r="O408" s="12"/>
      <c r="P408" s="12"/>
    </row>
    <row r="409" spans="2:16" s="14" customFormat="1" x14ac:dyDescent="0.25">
      <c r="B409" s="12"/>
      <c r="C409" s="53"/>
      <c r="D409" s="12"/>
      <c r="E409" s="12"/>
      <c r="F409" s="12"/>
      <c r="G409" s="54"/>
      <c r="H409" s="54"/>
      <c r="I409" s="54"/>
      <c r="J409" s="12"/>
      <c r="K409" s="12"/>
      <c r="L409" s="12"/>
      <c r="M409" s="12"/>
      <c r="N409" s="12"/>
      <c r="O409" s="12"/>
      <c r="P409" s="12"/>
    </row>
    <row r="410" spans="2:16" s="14" customFormat="1" x14ac:dyDescent="0.25">
      <c r="B410" s="12"/>
      <c r="C410" s="53"/>
      <c r="D410" s="12"/>
      <c r="E410" s="12"/>
      <c r="F410" s="12"/>
      <c r="G410" s="54"/>
      <c r="H410" s="54"/>
      <c r="I410" s="54"/>
      <c r="J410" s="12"/>
      <c r="K410" s="12"/>
      <c r="L410" s="12"/>
      <c r="M410" s="12"/>
      <c r="N410" s="12"/>
      <c r="O410" s="12"/>
      <c r="P410" s="12"/>
    </row>
    <row r="411" spans="2:16" s="14" customFormat="1" x14ac:dyDescent="0.25">
      <c r="B411" s="12"/>
      <c r="C411" s="53"/>
      <c r="D411" s="12"/>
      <c r="E411" s="12"/>
      <c r="F411" s="12"/>
      <c r="G411" s="54"/>
      <c r="H411" s="54"/>
      <c r="I411" s="54"/>
      <c r="J411" s="12"/>
      <c r="K411" s="12"/>
      <c r="L411" s="12"/>
      <c r="M411" s="12"/>
      <c r="N411" s="12"/>
      <c r="O411" s="12"/>
      <c r="P411" s="12"/>
    </row>
  </sheetData>
  <mergeCells count="210">
    <mergeCell ref="A177:A178"/>
    <mergeCell ref="A195:A196"/>
    <mergeCell ref="A189:A190"/>
    <mergeCell ref="A185:A186"/>
    <mergeCell ref="A197:A198"/>
    <mergeCell ref="A179:A180"/>
    <mergeCell ref="A181:A182"/>
    <mergeCell ref="A191:A192"/>
    <mergeCell ref="A347:A351"/>
    <mergeCell ref="A226:A227"/>
    <mergeCell ref="A224:A225"/>
    <mergeCell ref="A228:A229"/>
    <mergeCell ref="A234:A235"/>
    <mergeCell ref="A254:A255"/>
    <mergeCell ref="A240:A241"/>
    <mergeCell ref="A294:A295"/>
    <mergeCell ref="A341:A342"/>
    <mergeCell ref="A337:A338"/>
    <mergeCell ref="A339:A340"/>
    <mergeCell ref="A298:A299"/>
    <mergeCell ref="A300:A301"/>
    <mergeCell ref="A343:A344"/>
    <mergeCell ref="A345:A346"/>
    <mergeCell ref="A333:A334"/>
    <mergeCell ref="A335:A336"/>
    <mergeCell ref="A302:A303"/>
    <mergeCell ref="A304:A305"/>
    <mergeCell ref="A236:A237"/>
    <mergeCell ref="A230:A231"/>
    <mergeCell ref="A232:A233"/>
    <mergeCell ref="A331:A332"/>
    <mergeCell ref="A315:A316"/>
    <mergeCell ref="A381:A385"/>
    <mergeCell ref="A352:P352"/>
    <mergeCell ref="A353:P353"/>
    <mergeCell ref="A354:A360"/>
    <mergeCell ref="A361:A362"/>
    <mergeCell ref="A372:A373"/>
    <mergeCell ref="A374:A375"/>
    <mergeCell ref="P365:P375"/>
    <mergeCell ref="O365:O375"/>
    <mergeCell ref="A376:A380"/>
    <mergeCell ref="A365:A371"/>
    <mergeCell ref="A363:A364"/>
    <mergeCell ref="O354:O362"/>
    <mergeCell ref="P354:P362"/>
    <mergeCell ref="A5:P5"/>
    <mergeCell ref="A7:A9"/>
    <mergeCell ref="B7:B9"/>
    <mergeCell ref="C7:C9"/>
    <mergeCell ref="D7:P7"/>
    <mergeCell ref="D8:P8"/>
    <mergeCell ref="A10:P10"/>
    <mergeCell ref="A11:P11"/>
    <mergeCell ref="O19:O20"/>
    <mergeCell ref="P19:P20"/>
    <mergeCell ref="A19:A20"/>
    <mergeCell ref="A12:A18"/>
    <mergeCell ref="P276:P280"/>
    <mergeCell ref="O281:O293"/>
    <mergeCell ref="A250:A251"/>
    <mergeCell ref="A252:A253"/>
    <mergeCell ref="A267:P267"/>
    <mergeCell ref="A268:P268"/>
    <mergeCell ref="A262:A266"/>
    <mergeCell ref="A276:A277"/>
    <mergeCell ref="A278:A279"/>
    <mergeCell ref="A280:A281"/>
    <mergeCell ref="A282:A283"/>
    <mergeCell ref="P281:P293"/>
    <mergeCell ref="A292:A293"/>
    <mergeCell ref="A258:A259"/>
    <mergeCell ref="O258:O259"/>
    <mergeCell ref="I3:P3"/>
    <mergeCell ref="A62:A63"/>
    <mergeCell ref="A78:A79"/>
    <mergeCell ref="A109:A110"/>
    <mergeCell ref="A74:A75"/>
    <mergeCell ref="A119:A120"/>
    <mergeCell ref="A127:A128"/>
    <mergeCell ref="A64:A65"/>
    <mergeCell ref="A66:A67"/>
    <mergeCell ref="A68:A69"/>
    <mergeCell ref="A121:A122"/>
    <mergeCell ref="A117:A118"/>
    <mergeCell ref="A125:A126"/>
    <mergeCell ref="A115:A116"/>
    <mergeCell ref="A72:A73"/>
    <mergeCell ref="A111:A112"/>
    <mergeCell ref="A70:A71"/>
    <mergeCell ref="A102:A108"/>
    <mergeCell ref="O32:O33"/>
    <mergeCell ref="P32:P33"/>
    <mergeCell ref="A25:A31"/>
    <mergeCell ref="A52:A53"/>
    <mergeCell ref="A54:A55"/>
    <mergeCell ref="A36:A40"/>
    <mergeCell ref="A317:A318"/>
    <mergeCell ref="A284:A285"/>
    <mergeCell ref="A286:A287"/>
    <mergeCell ref="A319:A320"/>
    <mergeCell ref="A321:A322"/>
    <mergeCell ref="P294:P305"/>
    <mergeCell ref="P306:P313"/>
    <mergeCell ref="A296:A297"/>
    <mergeCell ref="A325:A326"/>
    <mergeCell ref="O318:O331"/>
    <mergeCell ref="A306:A307"/>
    <mergeCell ref="A327:A328"/>
    <mergeCell ref="A308:A309"/>
    <mergeCell ref="A310:A311"/>
    <mergeCell ref="A312:A313"/>
    <mergeCell ref="P318:P331"/>
    <mergeCell ref="A329:A330"/>
    <mergeCell ref="A323:A324"/>
    <mergeCell ref="O294:O305"/>
    <mergeCell ref="O306:O313"/>
    <mergeCell ref="A56:A57"/>
    <mergeCell ref="A166:P166"/>
    <mergeCell ref="A167:P167"/>
    <mergeCell ref="P175:P176"/>
    <mergeCell ref="O177:O191"/>
    <mergeCell ref="A183:A184"/>
    <mergeCell ref="P262:P266"/>
    <mergeCell ref="A288:A289"/>
    <mergeCell ref="A290:A291"/>
    <mergeCell ref="P258:P259"/>
    <mergeCell ref="O276:O280"/>
    <mergeCell ref="A76:A77"/>
    <mergeCell ref="A82:A83"/>
    <mergeCell ref="A143:A144"/>
    <mergeCell ref="A131:A132"/>
    <mergeCell ref="A133:A134"/>
    <mergeCell ref="A145:A146"/>
    <mergeCell ref="A80:A81"/>
    <mergeCell ref="A141:A142"/>
    <mergeCell ref="A135:A136"/>
    <mergeCell ref="P216:P223"/>
    <mergeCell ref="O175:O176"/>
    <mergeCell ref="A123:A124"/>
    <mergeCell ref="A129:A130"/>
    <mergeCell ref="A246:A247"/>
    <mergeCell ref="A242:A243"/>
    <mergeCell ref="A193:A194"/>
    <mergeCell ref="A187:A188"/>
    <mergeCell ref="A168:A174"/>
    <mergeCell ref="A175:A176"/>
    <mergeCell ref="A161:A165"/>
    <mergeCell ref="A147:A148"/>
    <mergeCell ref="A149:A150"/>
    <mergeCell ref="A151:A152"/>
    <mergeCell ref="A153:A154"/>
    <mergeCell ref="P224:P239"/>
    <mergeCell ref="P177:P191"/>
    <mergeCell ref="A238:A239"/>
    <mergeCell ref="A199:A200"/>
    <mergeCell ref="A201:A202"/>
    <mergeCell ref="A203:A204"/>
    <mergeCell ref="A216:A217"/>
    <mergeCell ref="A218:A219"/>
    <mergeCell ref="A220:A221"/>
    <mergeCell ref="A248:A249"/>
    <mergeCell ref="A244:A245"/>
    <mergeCell ref="O262:O266"/>
    <mergeCell ref="A269:A275"/>
    <mergeCell ref="A256:A257"/>
    <mergeCell ref="A260:A261"/>
    <mergeCell ref="A209:A215"/>
    <mergeCell ref="A205:A206"/>
    <mergeCell ref="A207:A208"/>
    <mergeCell ref="O224:O239"/>
    <mergeCell ref="O216:O223"/>
    <mergeCell ref="A222:A223"/>
    <mergeCell ref="A94:A95"/>
    <mergeCell ref="A92:A93"/>
    <mergeCell ref="A96:A97"/>
    <mergeCell ref="A98:A99"/>
    <mergeCell ref="A100:A101"/>
    <mergeCell ref="A157:A158"/>
    <mergeCell ref="A159:A160"/>
    <mergeCell ref="A155:A156"/>
    <mergeCell ref="P50:P53"/>
    <mergeCell ref="O54:O70"/>
    <mergeCell ref="P54:P70"/>
    <mergeCell ref="O105:O120"/>
    <mergeCell ref="P105:P120"/>
    <mergeCell ref="A137:A138"/>
    <mergeCell ref="A139:A140"/>
    <mergeCell ref="A113:A114"/>
    <mergeCell ref="A21:A22"/>
    <mergeCell ref="A84:A85"/>
    <mergeCell ref="A86:A87"/>
    <mergeCell ref="A88:A89"/>
    <mergeCell ref="A90:A91"/>
    <mergeCell ref="A23:A24"/>
    <mergeCell ref="A41:P41"/>
    <mergeCell ref="P43:P49"/>
    <mergeCell ref="O25:O31"/>
    <mergeCell ref="P25:P31"/>
    <mergeCell ref="O36:O40"/>
    <mergeCell ref="P36:P40"/>
    <mergeCell ref="A32:A33"/>
    <mergeCell ref="A34:A35"/>
    <mergeCell ref="A58:A59"/>
    <mergeCell ref="A43:A49"/>
    <mergeCell ref="A60:A61"/>
    <mergeCell ref="A50:A51"/>
    <mergeCell ref="O50:O53"/>
    <mergeCell ref="A42:P42"/>
    <mergeCell ref="O43:O49"/>
  </mergeCells>
  <phoneticPr fontId="18" type="noConversion"/>
  <printOptions horizontalCentered="1"/>
  <pageMargins left="0" right="0" top="0" bottom="0" header="0" footer="0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5"/>
  <sheetViews>
    <sheetView workbookViewId="0">
      <selection activeCell="G3" sqref="G3:M4"/>
    </sheetView>
  </sheetViews>
  <sheetFormatPr defaultRowHeight="15.75" x14ac:dyDescent="0.25"/>
  <cols>
    <col min="1" max="1" width="25.140625" style="3" customWidth="1"/>
    <col min="2" max="2" width="10.42578125" style="3" customWidth="1"/>
    <col min="3" max="3" width="10.28515625" style="3" customWidth="1"/>
    <col min="4" max="5" width="10.140625" style="3" customWidth="1"/>
    <col min="6" max="6" width="9.5703125" style="3" customWidth="1"/>
    <col min="7" max="7" width="10.140625" style="3" customWidth="1"/>
    <col min="8" max="8" width="10.5703125" style="3" customWidth="1"/>
    <col min="9" max="9" width="9.7109375" style="3" bestFit="1" customWidth="1"/>
    <col min="10" max="10" width="9.7109375" style="3" customWidth="1"/>
    <col min="11" max="11" width="8" style="3" customWidth="1"/>
    <col min="12" max="12" width="9" style="3" customWidth="1"/>
    <col min="13" max="13" width="5.42578125" style="3" customWidth="1"/>
    <col min="14" max="259" width="9.140625" style="3"/>
    <col min="260" max="260" width="27.28515625" style="3" customWidth="1"/>
    <col min="261" max="261" width="18.5703125" style="3" customWidth="1"/>
    <col min="262" max="262" width="14.7109375" style="3" customWidth="1"/>
    <col min="263" max="263" width="12.140625" style="3" customWidth="1"/>
    <col min="264" max="264" width="15.5703125" style="3" customWidth="1"/>
    <col min="265" max="265" width="14.5703125" style="3" customWidth="1"/>
    <col min="266" max="266" width="14.42578125" style="3" customWidth="1"/>
    <col min="267" max="267" width="9.7109375" style="3" bestFit="1" customWidth="1"/>
    <col min="268" max="515" width="9.140625" style="3"/>
    <col min="516" max="516" width="27.28515625" style="3" customWidth="1"/>
    <col min="517" max="517" width="18.5703125" style="3" customWidth="1"/>
    <col min="518" max="518" width="14.7109375" style="3" customWidth="1"/>
    <col min="519" max="519" width="12.140625" style="3" customWidth="1"/>
    <col min="520" max="520" width="15.5703125" style="3" customWidth="1"/>
    <col min="521" max="521" width="14.5703125" style="3" customWidth="1"/>
    <col min="522" max="522" width="14.42578125" style="3" customWidth="1"/>
    <col min="523" max="523" width="9.7109375" style="3" bestFit="1" customWidth="1"/>
    <col min="524" max="771" width="9.140625" style="3"/>
    <col min="772" max="772" width="27.28515625" style="3" customWidth="1"/>
    <col min="773" max="773" width="18.5703125" style="3" customWidth="1"/>
    <col min="774" max="774" width="14.7109375" style="3" customWidth="1"/>
    <col min="775" max="775" width="12.140625" style="3" customWidth="1"/>
    <col min="776" max="776" width="15.5703125" style="3" customWidth="1"/>
    <col min="777" max="777" width="14.5703125" style="3" customWidth="1"/>
    <col min="778" max="778" width="14.42578125" style="3" customWidth="1"/>
    <col min="779" max="779" width="9.7109375" style="3" bestFit="1" customWidth="1"/>
    <col min="780" max="1027" width="9.140625" style="3"/>
    <col min="1028" max="1028" width="27.28515625" style="3" customWidth="1"/>
    <col min="1029" max="1029" width="18.5703125" style="3" customWidth="1"/>
    <col min="1030" max="1030" width="14.7109375" style="3" customWidth="1"/>
    <col min="1031" max="1031" width="12.140625" style="3" customWidth="1"/>
    <col min="1032" max="1032" width="15.5703125" style="3" customWidth="1"/>
    <col min="1033" max="1033" width="14.5703125" style="3" customWidth="1"/>
    <col min="1034" max="1034" width="14.42578125" style="3" customWidth="1"/>
    <col min="1035" max="1035" width="9.7109375" style="3" bestFit="1" customWidth="1"/>
    <col min="1036" max="1283" width="9.140625" style="3"/>
    <col min="1284" max="1284" width="27.28515625" style="3" customWidth="1"/>
    <col min="1285" max="1285" width="18.5703125" style="3" customWidth="1"/>
    <col min="1286" max="1286" width="14.7109375" style="3" customWidth="1"/>
    <col min="1287" max="1287" width="12.140625" style="3" customWidth="1"/>
    <col min="1288" max="1288" width="15.5703125" style="3" customWidth="1"/>
    <col min="1289" max="1289" width="14.5703125" style="3" customWidth="1"/>
    <col min="1290" max="1290" width="14.42578125" style="3" customWidth="1"/>
    <col min="1291" max="1291" width="9.7109375" style="3" bestFit="1" customWidth="1"/>
    <col min="1292" max="1539" width="9.140625" style="3"/>
    <col min="1540" max="1540" width="27.28515625" style="3" customWidth="1"/>
    <col min="1541" max="1541" width="18.5703125" style="3" customWidth="1"/>
    <col min="1542" max="1542" width="14.7109375" style="3" customWidth="1"/>
    <col min="1543" max="1543" width="12.140625" style="3" customWidth="1"/>
    <col min="1544" max="1544" width="15.5703125" style="3" customWidth="1"/>
    <col min="1545" max="1545" width="14.5703125" style="3" customWidth="1"/>
    <col min="1546" max="1546" width="14.42578125" style="3" customWidth="1"/>
    <col min="1547" max="1547" width="9.7109375" style="3" bestFit="1" customWidth="1"/>
    <col min="1548" max="1795" width="9.140625" style="3"/>
    <col min="1796" max="1796" width="27.28515625" style="3" customWidth="1"/>
    <col min="1797" max="1797" width="18.5703125" style="3" customWidth="1"/>
    <col min="1798" max="1798" width="14.7109375" style="3" customWidth="1"/>
    <col min="1799" max="1799" width="12.140625" style="3" customWidth="1"/>
    <col min="1800" max="1800" width="15.5703125" style="3" customWidth="1"/>
    <col min="1801" max="1801" width="14.5703125" style="3" customWidth="1"/>
    <col min="1802" max="1802" width="14.42578125" style="3" customWidth="1"/>
    <col min="1803" max="1803" width="9.7109375" style="3" bestFit="1" customWidth="1"/>
    <col min="1804" max="2051" width="9.140625" style="3"/>
    <col min="2052" max="2052" width="27.28515625" style="3" customWidth="1"/>
    <col min="2053" max="2053" width="18.5703125" style="3" customWidth="1"/>
    <col min="2054" max="2054" width="14.7109375" style="3" customWidth="1"/>
    <col min="2055" max="2055" width="12.140625" style="3" customWidth="1"/>
    <col min="2056" max="2056" width="15.5703125" style="3" customWidth="1"/>
    <col min="2057" max="2057" width="14.5703125" style="3" customWidth="1"/>
    <col min="2058" max="2058" width="14.42578125" style="3" customWidth="1"/>
    <col min="2059" max="2059" width="9.7109375" style="3" bestFit="1" customWidth="1"/>
    <col min="2060" max="2307" width="9.140625" style="3"/>
    <col min="2308" max="2308" width="27.28515625" style="3" customWidth="1"/>
    <col min="2309" max="2309" width="18.5703125" style="3" customWidth="1"/>
    <col min="2310" max="2310" width="14.7109375" style="3" customWidth="1"/>
    <col min="2311" max="2311" width="12.140625" style="3" customWidth="1"/>
    <col min="2312" max="2312" width="15.5703125" style="3" customWidth="1"/>
    <col min="2313" max="2313" width="14.5703125" style="3" customWidth="1"/>
    <col min="2314" max="2314" width="14.42578125" style="3" customWidth="1"/>
    <col min="2315" max="2315" width="9.7109375" style="3" bestFit="1" customWidth="1"/>
    <col min="2316" max="2563" width="9.140625" style="3"/>
    <col min="2564" max="2564" width="27.28515625" style="3" customWidth="1"/>
    <col min="2565" max="2565" width="18.5703125" style="3" customWidth="1"/>
    <col min="2566" max="2566" width="14.7109375" style="3" customWidth="1"/>
    <col min="2567" max="2567" width="12.140625" style="3" customWidth="1"/>
    <col min="2568" max="2568" width="15.5703125" style="3" customWidth="1"/>
    <col min="2569" max="2569" width="14.5703125" style="3" customWidth="1"/>
    <col min="2570" max="2570" width="14.42578125" style="3" customWidth="1"/>
    <col min="2571" max="2571" width="9.7109375" style="3" bestFit="1" customWidth="1"/>
    <col min="2572" max="2819" width="9.140625" style="3"/>
    <col min="2820" max="2820" width="27.28515625" style="3" customWidth="1"/>
    <col min="2821" max="2821" width="18.5703125" style="3" customWidth="1"/>
    <col min="2822" max="2822" width="14.7109375" style="3" customWidth="1"/>
    <col min="2823" max="2823" width="12.140625" style="3" customWidth="1"/>
    <col min="2824" max="2824" width="15.5703125" style="3" customWidth="1"/>
    <col min="2825" max="2825" width="14.5703125" style="3" customWidth="1"/>
    <col min="2826" max="2826" width="14.42578125" style="3" customWidth="1"/>
    <col min="2827" max="2827" width="9.7109375" style="3" bestFit="1" customWidth="1"/>
    <col min="2828" max="3075" width="9.140625" style="3"/>
    <col min="3076" max="3076" width="27.28515625" style="3" customWidth="1"/>
    <col min="3077" max="3077" width="18.5703125" style="3" customWidth="1"/>
    <col min="3078" max="3078" width="14.7109375" style="3" customWidth="1"/>
    <col min="3079" max="3079" width="12.140625" style="3" customWidth="1"/>
    <col min="3080" max="3080" width="15.5703125" style="3" customWidth="1"/>
    <col min="3081" max="3081" width="14.5703125" style="3" customWidth="1"/>
    <col min="3082" max="3082" width="14.42578125" style="3" customWidth="1"/>
    <col min="3083" max="3083" width="9.7109375" style="3" bestFit="1" customWidth="1"/>
    <col min="3084" max="3331" width="9.140625" style="3"/>
    <col min="3332" max="3332" width="27.28515625" style="3" customWidth="1"/>
    <col min="3333" max="3333" width="18.5703125" style="3" customWidth="1"/>
    <col min="3334" max="3334" width="14.7109375" style="3" customWidth="1"/>
    <col min="3335" max="3335" width="12.140625" style="3" customWidth="1"/>
    <col min="3336" max="3336" width="15.5703125" style="3" customWidth="1"/>
    <col min="3337" max="3337" width="14.5703125" style="3" customWidth="1"/>
    <col min="3338" max="3338" width="14.42578125" style="3" customWidth="1"/>
    <col min="3339" max="3339" width="9.7109375" style="3" bestFit="1" customWidth="1"/>
    <col min="3340" max="3587" width="9.140625" style="3"/>
    <col min="3588" max="3588" width="27.28515625" style="3" customWidth="1"/>
    <col min="3589" max="3589" width="18.5703125" style="3" customWidth="1"/>
    <col min="3590" max="3590" width="14.7109375" style="3" customWidth="1"/>
    <col min="3591" max="3591" width="12.140625" style="3" customWidth="1"/>
    <col min="3592" max="3592" width="15.5703125" style="3" customWidth="1"/>
    <col min="3593" max="3593" width="14.5703125" style="3" customWidth="1"/>
    <col min="3594" max="3594" width="14.42578125" style="3" customWidth="1"/>
    <col min="3595" max="3595" width="9.7109375" style="3" bestFit="1" customWidth="1"/>
    <col min="3596" max="3843" width="9.140625" style="3"/>
    <col min="3844" max="3844" width="27.28515625" style="3" customWidth="1"/>
    <col min="3845" max="3845" width="18.5703125" style="3" customWidth="1"/>
    <col min="3846" max="3846" width="14.7109375" style="3" customWidth="1"/>
    <col min="3847" max="3847" width="12.140625" style="3" customWidth="1"/>
    <col min="3848" max="3848" width="15.5703125" style="3" customWidth="1"/>
    <col min="3849" max="3849" width="14.5703125" style="3" customWidth="1"/>
    <col min="3850" max="3850" width="14.42578125" style="3" customWidth="1"/>
    <col min="3851" max="3851" width="9.7109375" style="3" bestFit="1" customWidth="1"/>
    <col min="3852" max="4099" width="9.140625" style="3"/>
    <col min="4100" max="4100" width="27.28515625" style="3" customWidth="1"/>
    <col min="4101" max="4101" width="18.5703125" style="3" customWidth="1"/>
    <col min="4102" max="4102" width="14.7109375" style="3" customWidth="1"/>
    <col min="4103" max="4103" width="12.140625" style="3" customWidth="1"/>
    <col min="4104" max="4104" width="15.5703125" style="3" customWidth="1"/>
    <col min="4105" max="4105" width="14.5703125" style="3" customWidth="1"/>
    <col min="4106" max="4106" width="14.42578125" style="3" customWidth="1"/>
    <col min="4107" max="4107" width="9.7109375" style="3" bestFit="1" customWidth="1"/>
    <col min="4108" max="4355" width="9.140625" style="3"/>
    <col min="4356" max="4356" width="27.28515625" style="3" customWidth="1"/>
    <col min="4357" max="4357" width="18.5703125" style="3" customWidth="1"/>
    <col min="4358" max="4358" width="14.7109375" style="3" customWidth="1"/>
    <col min="4359" max="4359" width="12.140625" style="3" customWidth="1"/>
    <col min="4360" max="4360" width="15.5703125" style="3" customWidth="1"/>
    <col min="4361" max="4361" width="14.5703125" style="3" customWidth="1"/>
    <col min="4362" max="4362" width="14.42578125" style="3" customWidth="1"/>
    <col min="4363" max="4363" width="9.7109375" style="3" bestFit="1" customWidth="1"/>
    <col min="4364" max="4611" width="9.140625" style="3"/>
    <col min="4612" max="4612" width="27.28515625" style="3" customWidth="1"/>
    <col min="4613" max="4613" width="18.5703125" style="3" customWidth="1"/>
    <col min="4614" max="4614" width="14.7109375" style="3" customWidth="1"/>
    <col min="4615" max="4615" width="12.140625" style="3" customWidth="1"/>
    <col min="4616" max="4616" width="15.5703125" style="3" customWidth="1"/>
    <col min="4617" max="4617" width="14.5703125" style="3" customWidth="1"/>
    <col min="4618" max="4618" width="14.42578125" style="3" customWidth="1"/>
    <col min="4619" max="4619" width="9.7109375" style="3" bestFit="1" customWidth="1"/>
    <col min="4620" max="4867" width="9.140625" style="3"/>
    <col min="4868" max="4868" width="27.28515625" style="3" customWidth="1"/>
    <col min="4869" max="4869" width="18.5703125" style="3" customWidth="1"/>
    <col min="4870" max="4870" width="14.7109375" style="3" customWidth="1"/>
    <col min="4871" max="4871" width="12.140625" style="3" customWidth="1"/>
    <col min="4872" max="4872" width="15.5703125" style="3" customWidth="1"/>
    <col min="4873" max="4873" width="14.5703125" style="3" customWidth="1"/>
    <col min="4874" max="4874" width="14.42578125" style="3" customWidth="1"/>
    <col min="4875" max="4875" width="9.7109375" style="3" bestFit="1" customWidth="1"/>
    <col min="4876" max="5123" width="9.140625" style="3"/>
    <col min="5124" max="5124" width="27.28515625" style="3" customWidth="1"/>
    <col min="5125" max="5125" width="18.5703125" style="3" customWidth="1"/>
    <col min="5126" max="5126" width="14.7109375" style="3" customWidth="1"/>
    <col min="5127" max="5127" width="12.140625" style="3" customWidth="1"/>
    <col min="5128" max="5128" width="15.5703125" style="3" customWidth="1"/>
    <col min="5129" max="5129" width="14.5703125" style="3" customWidth="1"/>
    <col min="5130" max="5130" width="14.42578125" style="3" customWidth="1"/>
    <col min="5131" max="5131" width="9.7109375" style="3" bestFit="1" customWidth="1"/>
    <col min="5132" max="5379" width="9.140625" style="3"/>
    <col min="5380" max="5380" width="27.28515625" style="3" customWidth="1"/>
    <col min="5381" max="5381" width="18.5703125" style="3" customWidth="1"/>
    <col min="5382" max="5382" width="14.7109375" style="3" customWidth="1"/>
    <col min="5383" max="5383" width="12.140625" style="3" customWidth="1"/>
    <col min="5384" max="5384" width="15.5703125" style="3" customWidth="1"/>
    <col min="5385" max="5385" width="14.5703125" style="3" customWidth="1"/>
    <col min="5386" max="5386" width="14.42578125" style="3" customWidth="1"/>
    <col min="5387" max="5387" width="9.7109375" style="3" bestFit="1" customWidth="1"/>
    <col min="5388" max="5635" width="9.140625" style="3"/>
    <col min="5636" max="5636" width="27.28515625" style="3" customWidth="1"/>
    <col min="5637" max="5637" width="18.5703125" style="3" customWidth="1"/>
    <col min="5638" max="5638" width="14.7109375" style="3" customWidth="1"/>
    <col min="5639" max="5639" width="12.140625" style="3" customWidth="1"/>
    <col min="5640" max="5640" width="15.5703125" style="3" customWidth="1"/>
    <col min="5641" max="5641" width="14.5703125" style="3" customWidth="1"/>
    <col min="5642" max="5642" width="14.42578125" style="3" customWidth="1"/>
    <col min="5643" max="5643" width="9.7109375" style="3" bestFit="1" customWidth="1"/>
    <col min="5644" max="5891" width="9.140625" style="3"/>
    <col min="5892" max="5892" width="27.28515625" style="3" customWidth="1"/>
    <col min="5893" max="5893" width="18.5703125" style="3" customWidth="1"/>
    <col min="5894" max="5894" width="14.7109375" style="3" customWidth="1"/>
    <col min="5895" max="5895" width="12.140625" style="3" customWidth="1"/>
    <col min="5896" max="5896" width="15.5703125" style="3" customWidth="1"/>
    <col min="5897" max="5897" width="14.5703125" style="3" customWidth="1"/>
    <col min="5898" max="5898" width="14.42578125" style="3" customWidth="1"/>
    <col min="5899" max="5899" width="9.7109375" style="3" bestFit="1" customWidth="1"/>
    <col min="5900" max="6147" width="9.140625" style="3"/>
    <col min="6148" max="6148" width="27.28515625" style="3" customWidth="1"/>
    <col min="6149" max="6149" width="18.5703125" style="3" customWidth="1"/>
    <col min="6150" max="6150" width="14.7109375" style="3" customWidth="1"/>
    <col min="6151" max="6151" width="12.140625" style="3" customWidth="1"/>
    <col min="6152" max="6152" width="15.5703125" style="3" customWidth="1"/>
    <col min="6153" max="6153" width="14.5703125" style="3" customWidth="1"/>
    <col min="6154" max="6154" width="14.42578125" style="3" customWidth="1"/>
    <col min="6155" max="6155" width="9.7109375" style="3" bestFit="1" customWidth="1"/>
    <col min="6156" max="6403" width="9.140625" style="3"/>
    <col min="6404" max="6404" width="27.28515625" style="3" customWidth="1"/>
    <col min="6405" max="6405" width="18.5703125" style="3" customWidth="1"/>
    <col min="6406" max="6406" width="14.7109375" style="3" customWidth="1"/>
    <col min="6407" max="6407" width="12.140625" style="3" customWidth="1"/>
    <col min="6408" max="6408" width="15.5703125" style="3" customWidth="1"/>
    <col min="6409" max="6409" width="14.5703125" style="3" customWidth="1"/>
    <col min="6410" max="6410" width="14.42578125" style="3" customWidth="1"/>
    <col min="6411" max="6411" width="9.7109375" style="3" bestFit="1" customWidth="1"/>
    <col min="6412" max="6659" width="9.140625" style="3"/>
    <col min="6660" max="6660" width="27.28515625" style="3" customWidth="1"/>
    <col min="6661" max="6661" width="18.5703125" style="3" customWidth="1"/>
    <col min="6662" max="6662" width="14.7109375" style="3" customWidth="1"/>
    <col min="6663" max="6663" width="12.140625" style="3" customWidth="1"/>
    <col min="6664" max="6664" width="15.5703125" style="3" customWidth="1"/>
    <col min="6665" max="6665" width="14.5703125" style="3" customWidth="1"/>
    <col min="6666" max="6666" width="14.42578125" style="3" customWidth="1"/>
    <col min="6667" max="6667" width="9.7109375" style="3" bestFit="1" customWidth="1"/>
    <col min="6668" max="6915" width="9.140625" style="3"/>
    <col min="6916" max="6916" width="27.28515625" style="3" customWidth="1"/>
    <col min="6917" max="6917" width="18.5703125" style="3" customWidth="1"/>
    <col min="6918" max="6918" width="14.7109375" style="3" customWidth="1"/>
    <col min="6919" max="6919" width="12.140625" style="3" customWidth="1"/>
    <col min="6920" max="6920" width="15.5703125" style="3" customWidth="1"/>
    <col min="6921" max="6921" width="14.5703125" style="3" customWidth="1"/>
    <col min="6922" max="6922" width="14.42578125" style="3" customWidth="1"/>
    <col min="6923" max="6923" width="9.7109375" style="3" bestFit="1" customWidth="1"/>
    <col min="6924" max="7171" width="9.140625" style="3"/>
    <col min="7172" max="7172" width="27.28515625" style="3" customWidth="1"/>
    <col min="7173" max="7173" width="18.5703125" style="3" customWidth="1"/>
    <col min="7174" max="7174" width="14.7109375" style="3" customWidth="1"/>
    <col min="7175" max="7175" width="12.140625" style="3" customWidth="1"/>
    <col min="7176" max="7176" width="15.5703125" style="3" customWidth="1"/>
    <col min="7177" max="7177" width="14.5703125" style="3" customWidth="1"/>
    <col min="7178" max="7178" width="14.42578125" style="3" customWidth="1"/>
    <col min="7179" max="7179" width="9.7109375" style="3" bestFit="1" customWidth="1"/>
    <col min="7180" max="7427" width="9.140625" style="3"/>
    <col min="7428" max="7428" width="27.28515625" style="3" customWidth="1"/>
    <col min="7429" max="7429" width="18.5703125" style="3" customWidth="1"/>
    <col min="7430" max="7430" width="14.7109375" style="3" customWidth="1"/>
    <col min="7431" max="7431" width="12.140625" style="3" customWidth="1"/>
    <col min="7432" max="7432" width="15.5703125" style="3" customWidth="1"/>
    <col min="7433" max="7433" width="14.5703125" style="3" customWidth="1"/>
    <col min="7434" max="7434" width="14.42578125" style="3" customWidth="1"/>
    <col min="7435" max="7435" width="9.7109375" style="3" bestFit="1" customWidth="1"/>
    <col min="7436" max="7683" width="9.140625" style="3"/>
    <col min="7684" max="7684" width="27.28515625" style="3" customWidth="1"/>
    <col min="7685" max="7685" width="18.5703125" style="3" customWidth="1"/>
    <col min="7686" max="7686" width="14.7109375" style="3" customWidth="1"/>
    <col min="7687" max="7687" width="12.140625" style="3" customWidth="1"/>
    <col min="7688" max="7688" width="15.5703125" style="3" customWidth="1"/>
    <col min="7689" max="7689" width="14.5703125" style="3" customWidth="1"/>
    <col min="7690" max="7690" width="14.42578125" style="3" customWidth="1"/>
    <col min="7691" max="7691" width="9.7109375" style="3" bestFit="1" customWidth="1"/>
    <col min="7692" max="7939" width="9.140625" style="3"/>
    <col min="7940" max="7940" width="27.28515625" style="3" customWidth="1"/>
    <col min="7941" max="7941" width="18.5703125" style="3" customWidth="1"/>
    <col min="7942" max="7942" width="14.7109375" style="3" customWidth="1"/>
    <col min="7943" max="7943" width="12.140625" style="3" customWidth="1"/>
    <col min="7944" max="7944" width="15.5703125" style="3" customWidth="1"/>
    <col min="7945" max="7945" width="14.5703125" style="3" customWidth="1"/>
    <col min="7946" max="7946" width="14.42578125" style="3" customWidth="1"/>
    <col min="7947" max="7947" width="9.7109375" style="3" bestFit="1" customWidth="1"/>
    <col min="7948" max="8195" width="9.140625" style="3"/>
    <col min="8196" max="8196" width="27.28515625" style="3" customWidth="1"/>
    <col min="8197" max="8197" width="18.5703125" style="3" customWidth="1"/>
    <col min="8198" max="8198" width="14.7109375" style="3" customWidth="1"/>
    <col min="8199" max="8199" width="12.140625" style="3" customWidth="1"/>
    <col min="8200" max="8200" width="15.5703125" style="3" customWidth="1"/>
    <col min="8201" max="8201" width="14.5703125" style="3" customWidth="1"/>
    <col min="8202" max="8202" width="14.42578125" style="3" customWidth="1"/>
    <col min="8203" max="8203" width="9.7109375" style="3" bestFit="1" customWidth="1"/>
    <col min="8204" max="8451" width="9.140625" style="3"/>
    <col min="8452" max="8452" width="27.28515625" style="3" customWidth="1"/>
    <col min="8453" max="8453" width="18.5703125" style="3" customWidth="1"/>
    <col min="8454" max="8454" width="14.7109375" style="3" customWidth="1"/>
    <col min="8455" max="8455" width="12.140625" style="3" customWidth="1"/>
    <col min="8456" max="8456" width="15.5703125" style="3" customWidth="1"/>
    <col min="8457" max="8457" width="14.5703125" style="3" customWidth="1"/>
    <col min="8458" max="8458" width="14.42578125" style="3" customWidth="1"/>
    <col min="8459" max="8459" width="9.7109375" style="3" bestFit="1" customWidth="1"/>
    <col min="8460" max="8707" width="9.140625" style="3"/>
    <col min="8708" max="8708" width="27.28515625" style="3" customWidth="1"/>
    <col min="8709" max="8709" width="18.5703125" style="3" customWidth="1"/>
    <col min="8710" max="8710" width="14.7109375" style="3" customWidth="1"/>
    <col min="8711" max="8711" width="12.140625" style="3" customWidth="1"/>
    <col min="8712" max="8712" width="15.5703125" style="3" customWidth="1"/>
    <col min="8713" max="8713" width="14.5703125" style="3" customWidth="1"/>
    <col min="8714" max="8714" width="14.42578125" style="3" customWidth="1"/>
    <col min="8715" max="8715" width="9.7109375" style="3" bestFit="1" customWidth="1"/>
    <col min="8716" max="8963" width="9.140625" style="3"/>
    <col min="8964" max="8964" width="27.28515625" style="3" customWidth="1"/>
    <col min="8965" max="8965" width="18.5703125" style="3" customWidth="1"/>
    <col min="8966" max="8966" width="14.7109375" style="3" customWidth="1"/>
    <col min="8967" max="8967" width="12.140625" style="3" customWidth="1"/>
    <col min="8968" max="8968" width="15.5703125" style="3" customWidth="1"/>
    <col min="8969" max="8969" width="14.5703125" style="3" customWidth="1"/>
    <col min="8970" max="8970" width="14.42578125" style="3" customWidth="1"/>
    <col min="8971" max="8971" width="9.7109375" style="3" bestFit="1" customWidth="1"/>
    <col min="8972" max="9219" width="9.140625" style="3"/>
    <col min="9220" max="9220" width="27.28515625" style="3" customWidth="1"/>
    <col min="9221" max="9221" width="18.5703125" style="3" customWidth="1"/>
    <col min="9222" max="9222" width="14.7109375" style="3" customWidth="1"/>
    <col min="9223" max="9223" width="12.140625" style="3" customWidth="1"/>
    <col min="9224" max="9224" width="15.5703125" style="3" customWidth="1"/>
    <col min="9225" max="9225" width="14.5703125" style="3" customWidth="1"/>
    <col min="9226" max="9226" width="14.42578125" style="3" customWidth="1"/>
    <col min="9227" max="9227" width="9.7109375" style="3" bestFit="1" customWidth="1"/>
    <col min="9228" max="9475" width="9.140625" style="3"/>
    <col min="9476" max="9476" width="27.28515625" style="3" customWidth="1"/>
    <col min="9477" max="9477" width="18.5703125" style="3" customWidth="1"/>
    <col min="9478" max="9478" width="14.7109375" style="3" customWidth="1"/>
    <col min="9479" max="9479" width="12.140625" style="3" customWidth="1"/>
    <col min="9480" max="9480" width="15.5703125" style="3" customWidth="1"/>
    <col min="9481" max="9481" width="14.5703125" style="3" customWidth="1"/>
    <col min="9482" max="9482" width="14.42578125" style="3" customWidth="1"/>
    <col min="9483" max="9483" width="9.7109375" style="3" bestFit="1" customWidth="1"/>
    <col min="9484" max="9731" width="9.140625" style="3"/>
    <col min="9732" max="9732" width="27.28515625" style="3" customWidth="1"/>
    <col min="9733" max="9733" width="18.5703125" style="3" customWidth="1"/>
    <col min="9734" max="9734" width="14.7109375" style="3" customWidth="1"/>
    <col min="9735" max="9735" width="12.140625" style="3" customWidth="1"/>
    <col min="9736" max="9736" width="15.5703125" style="3" customWidth="1"/>
    <col min="9737" max="9737" width="14.5703125" style="3" customWidth="1"/>
    <col min="9738" max="9738" width="14.42578125" style="3" customWidth="1"/>
    <col min="9739" max="9739" width="9.7109375" style="3" bestFit="1" customWidth="1"/>
    <col min="9740" max="9987" width="9.140625" style="3"/>
    <col min="9988" max="9988" width="27.28515625" style="3" customWidth="1"/>
    <col min="9989" max="9989" width="18.5703125" style="3" customWidth="1"/>
    <col min="9990" max="9990" width="14.7109375" style="3" customWidth="1"/>
    <col min="9991" max="9991" width="12.140625" style="3" customWidth="1"/>
    <col min="9992" max="9992" width="15.5703125" style="3" customWidth="1"/>
    <col min="9993" max="9993" width="14.5703125" style="3" customWidth="1"/>
    <col min="9994" max="9994" width="14.42578125" style="3" customWidth="1"/>
    <col min="9995" max="9995" width="9.7109375" style="3" bestFit="1" customWidth="1"/>
    <col min="9996" max="10243" width="9.140625" style="3"/>
    <col min="10244" max="10244" width="27.28515625" style="3" customWidth="1"/>
    <col min="10245" max="10245" width="18.5703125" style="3" customWidth="1"/>
    <col min="10246" max="10246" width="14.7109375" style="3" customWidth="1"/>
    <col min="10247" max="10247" width="12.140625" style="3" customWidth="1"/>
    <col min="10248" max="10248" width="15.5703125" style="3" customWidth="1"/>
    <col min="10249" max="10249" width="14.5703125" style="3" customWidth="1"/>
    <col min="10250" max="10250" width="14.42578125" style="3" customWidth="1"/>
    <col min="10251" max="10251" width="9.7109375" style="3" bestFit="1" customWidth="1"/>
    <col min="10252" max="10499" width="9.140625" style="3"/>
    <col min="10500" max="10500" width="27.28515625" style="3" customWidth="1"/>
    <col min="10501" max="10501" width="18.5703125" style="3" customWidth="1"/>
    <col min="10502" max="10502" width="14.7109375" style="3" customWidth="1"/>
    <col min="10503" max="10503" width="12.140625" style="3" customWidth="1"/>
    <col min="10504" max="10504" width="15.5703125" style="3" customWidth="1"/>
    <col min="10505" max="10505" width="14.5703125" style="3" customWidth="1"/>
    <col min="10506" max="10506" width="14.42578125" style="3" customWidth="1"/>
    <col min="10507" max="10507" width="9.7109375" style="3" bestFit="1" customWidth="1"/>
    <col min="10508" max="10755" width="9.140625" style="3"/>
    <col min="10756" max="10756" width="27.28515625" style="3" customWidth="1"/>
    <col min="10757" max="10757" width="18.5703125" style="3" customWidth="1"/>
    <col min="10758" max="10758" width="14.7109375" style="3" customWidth="1"/>
    <col min="10759" max="10759" width="12.140625" style="3" customWidth="1"/>
    <col min="10760" max="10760" width="15.5703125" style="3" customWidth="1"/>
    <col min="10761" max="10761" width="14.5703125" style="3" customWidth="1"/>
    <col min="10762" max="10762" width="14.42578125" style="3" customWidth="1"/>
    <col min="10763" max="10763" width="9.7109375" style="3" bestFit="1" customWidth="1"/>
    <col min="10764" max="11011" width="9.140625" style="3"/>
    <col min="11012" max="11012" width="27.28515625" style="3" customWidth="1"/>
    <col min="11013" max="11013" width="18.5703125" style="3" customWidth="1"/>
    <col min="11014" max="11014" width="14.7109375" style="3" customWidth="1"/>
    <col min="11015" max="11015" width="12.140625" style="3" customWidth="1"/>
    <col min="11016" max="11016" width="15.5703125" style="3" customWidth="1"/>
    <col min="11017" max="11017" width="14.5703125" style="3" customWidth="1"/>
    <col min="11018" max="11018" width="14.42578125" style="3" customWidth="1"/>
    <col min="11019" max="11019" width="9.7109375" style="3" bestFit="1" customWidth="1"/>
    <col min="11020" max="11267" width="9.140625" style="3"/>
    <col min="11268" max="11268" width="27.28515625" style="3" customWidth="1"/>
    <col min="11269" max="11269" width="18.5703125" style="3" customWidth="1"/>
    <col min="11270" max="11270" width="14.7109375" style="3" customWidth="1"/>
    <col min="11271" max="11271" width="12.140625" style="3" customWidth="1"/>
    <col min="11272" max="11272" width="15.5703125" style="3" customWidth="1"/>
    <col min="11273" max="11273" width="14.5703125" style="3" customWidth="1"/>
    <col min="11274" max="11274" width="14.42578125" style="3" customWidth="1"/>
    <col min="11275" max="11275" width="9.7109375" style="3" bestFit="1" customWidth="1"/>
    <col min="11276" max="11523" width="9.140625" style="3"/>
    <col min="11524" max="11524" width="27.28515625" style="3" customWidth="1"/>
    <col min="11525" max="11525" width="18.5703125" style="3" customWidth="1"/>
    <col min="11526" max="11526" width="14.7109375" style="3" customWidth="1"/>
    <col min="11527" max="11527" width="12.140625" style="3" customWidth="1"/>
    <col min="11528" max="11528" width="15.5703125" style="3" customWidth="1"/>
    <col min="11529" max="11529" width="14.5703125" style="3" customWidth="1"/>
    <col min="11530" max="11530" width="14.42578125" style="3" customWidth="1"/>
    <col min="11531" max="11531" width="9.7109375" style="3" bestFit="1" customWidth="1"/>
    <col min="11532" max="11779" width="9.140625" style="3"/>
    <col min="11780" max="11780" width="27.28515625" style="3" customWidth="1"/>
    <col min="11781" max="11781" width="18.5703125" style="3" customWidth="1"/>
    <col min="11782" max="11782" width="14.7109375" style="3" customWidth="1"/>
    <col min="11783" max="11783" width="12.140625" style="3" customWidth="1"/>
    <col min="11784" max="11784" width="15.5703125" style="3" customWidth="1"/>
    <col min="11785" max="11785" width="14.5703125" style="3" customWidth="1"/>
    <col min="11786" max="11786" width="14.42578125" style="3" customWidth="1"/>
    <col min="11787" max="11787" width="9.7109375" style="3" bestFit="1" customWidth="1"/>
    <col min="11788" max="12035" width="9.140625" style="3"/>
    <col min="12036" max="12036" width="27.28515625" style="3" customWidth="1"/>
    <col min="12037" max="12037" width="18.5703125" style="3" customWidth="1"/>
    <col min="12038" max="12038" width="14.7109375" style="3" customWidth="1"/>
    <col min="12039" max="12039" width="12.140625" style="3" customWidth="1"/>
    <col min="12040" max="12040" width="15.5703125" style="3" customWidth="1"/>
    <col min="12041" max="12041" width="14.5703125" style="3" customWidth="1"/>
    <col min="12042" max="12042" width="14.42578125" style="3" customWidth="1"/>
    <col min="12043" max="12043" width="9.7109375" style="3" bestFit="1" customWidth="1"/>
    <col min="12044" max="12291" width="9.140625" style="3"/>
    <col min="12292" max="12292" width="27.28515625" style="3" customWidth="1"/>
    <col min="12293" max="12293" width="18.5703125" style="3" customWidth="1"/>
    <col min="12294" max="12294" width="14.7109375" style="3" customWidth="1"/>
    <col min="12295" max="12295" width="12.140625" style="3" customWidth="1"/>
    <col min="12296" max="12296" width="15.5703125" style="3" customWidth="1"/>
    <col min="12297" max="12297" width="14.5703125" style="3" customWidth="1"/>
    <col min="12298" max="12298" width="14.42578125" style="3" customWidth="1"/>
    <col min="12299" max="12299" width="9.7109375" style="3" bestFit="1" customWidth="1"/>
    <col min="12300" max="12547" width="9.140625" style="3"/>
    <col min="12548" max="12548" width="27.28515625" style="3" customWidth="1"/>
    <col min="12549" max="12549" width="18.5703125" style="3" customWidth="1"/>
    <col min="12550" max="12550" width="14.7109375" style="3" customWidth="1"/>
    <col min="12551" max="12551" width="12.140625" style="3" customWidth="1"/>
    <col min="12552" max="12552" width="15.5703125" style="3" customWidth="1"/>
    <col min="12553" max="12553" width="14.5703125" style="3" customWidth="1"/>
    <col min="12554" max="12554" width="14.42578125" style="3" customWidth="1"/>
    <col min="12555" max="12555" width="9.7109375" style="3" bestFit="1" customWidth="1"/>
    <col min="12556" max="12803" width="9.140625" style="3"/>
    <col min="12804" max="12804" width="27.28515625" style="3" customWidth="1"/>
    <col min="12805" max="12805" width="18.5703125" style="3" customWidth="1"/>
    <col min="12806" max="12806" width="14.7109375" style="3" customWidth="1"/>
    <col min="12807" max="12807" width="12.140625" style="3" customWidth="1"/>
    <col min="12808" max="12808" width="15.5703125" style="3" customWidth="1"/>
    <col min="12809" max="12809" width="14.5703125" style="3" customWidth="1"/>
    <col min="12810" max="12810" width="14.42578125" style="3" customWidth="1"/>
    <col min="12811" max="12811" width="9.7109375" style="3" bestFit="1" customWidth="1"/>
    <col min="12812" max="13059" width="9.140625" style="3"/>
    <col min="13060" max="13060" width="27.28515625" style="3" customWidth="1"/>
    <col min="13061" max="13061" width="18.5703125" style="3" customWidth="1"/>
    <col min="13062" max="13062" width="14.7109375" style="3" customWidth="1"/>
    <col min="13063" max="13063" width="12.140625" style="3" customWidth="1"/>
    <col min="13064" max="13064" width="15.5703125" style="3" customWidth="1"/>
    <col min="13065" max="13065" width="14.5703125" style="3" customWidth="1"/>
    <col min="13066" max="13066" width="14.42578125" style="3" customWidth="1"/>
    <col min="13067" max="13067" width="9.7109375" style="3" bestFit="1" customWidth="1"/>
    <col min="13068" max="13315" width="9.140625" style="3"/>
    <col min="13316" max="13316" width="27.28515625" style="3" customWidth="1"/>
    <col min="13317" max="13317" width="18.5703125" style="3" customWidth="1"/>
    <col min="13318" max="13318" width="14.7109375" style="3" customWidth="1"/>
    <col min="13319" max="13319" width="12.140625" style="3" customWidth="1"/>
    <col min="13320" max="13320" width="15.5703125" style="3" customWidth="1"/>
    <col min="13321" max="13321" width="14.5703125" style="3" customWidth="1"/>
    <col min="13322" max="13322" width="14.42578125" style="3" customWidth="1"/>
    <col min="13323" max="13323" width="9.7109375" style="3" bestFit="1" customWidth="1"/>
    <col min="13324" max="13571" width="9.140625" style="3"/>
    <col min="13572" max="13572" width="27.28515625" style="3" customWidth="1"/>
    <col min="13573" max="13573" width="18.5703125" style="3" customWidth="1"/>
    <col min="13574" max="13574" width="14.7109375" style="3" customWidth="1"/>
    <col min="13575" max="13575" width="12.140625" style="3" customWidth="1"/>
    <col min="13576" max="13576" width="15.5703125" style="3" customWidth="1"/>
    <col min="13577" max="13577" width="14.5703125" style="3" customWidth="1"/>
    <col min="13578" max="13578" width="14.42578125" style="3" customWidth="1"/>
    <col min="13579" max="13579" width="9.7109375" style="3" bestFit="1" customWidth="1"/>
    <col min="13580" max="13827" width="9.140625" style="3"/>
    <col min="13828" max="13828" width="27.28515625" style="3" customWidth="1"/>
    <col min="13829" max="13829" width="18.5703125" style="3" customWidth="1"/>
    <col min="13830" max="13830" width="14.7109375" style="3" customWidth="1"/>
    <col min="13831" max="13831" width="12.140625" style="3" customWidth="1"/>
    <col min="13832" max="13832" width="15.5703125" style="3" customWidth="1"/>
    <col min="13833" max="13833" width="14.5703125" style="3" customWidth="1"/>
    <col min="13834" max="13834" width="14.42578125" style="3" customWidth="1"/>
    <col min="13835" max="13835" width="9.7109375" style="3" bestFit="1" customWidth="1"/>
    <col min="13836" max="14083" width="9.140625" style="3"/>
    <col min="14084" max="14084" width="27.28515625" style="3" customWidth="1"/>
    <col min="14085" max="14085" width="18.5703125" style="3" customWidth="1"/>
    <col min="14086" max="14086" width="14.7109375" style="3" customWidth="1"/>
    <col min="14087" max="14087" width="12.140625" style="3" customWidth="1"/>
    <col min="14088" max="14088" width="15.5703125" style="3" customWidth="1"/>
    <col min="14089" max="14089" width="14.5703125" style="3" customWidth="1"/>
    <col min="14090" max="14090" width="14.42578125" style="3" customWidth="1"/>
    <col min="14091" max="14091" width="9.7109375" style="3" bestFit="1" customWidth="1"/>
    <col min="14092" max="14339" width="9.140625" style="3"/>
    <col min="14340" max="14340" width="27.28515625" style="3" customWidth="1"/>
    <col min="14341" max="14341" width="18.5703125" style="3" customWidth="1"/>
    <col min="14342" max="14342" width="14.7109375" style="3" customWidth="1"/>
    <col min="14343" max="14343" width="12.140625" style="3" customWidth="1"/>
    <col min="14344" max="14344" width="15.5703125" style="3" customWidth="1"/>
    <col min="14345" max="14345" width="14.5703125" style="3" customWidth="1"/>
    <col min="14346" max="14346" width="14.42578125" style="3" customWidth="1"/>
    <col min="14347" max="14347" width="9.7109375" style="3" bestFit="1" customWidth="1"/>
    <col min="14348" max="14595" width="9.140625" style="3"/>
    <col min="14596" max="14596" width="27.28515625" style="3" customWidth="1"/>
    <col min="14597" max="14597" width="18.5703125" style="3" customWidth="1"/>
    <col min="14598" max="14598" width="14.7109375" style="3" customWidth="1"/>
    <col min="14599" max="14599" width="12.140625" style="3" customWidth="1"/>
    <col min="14600" max="14600" width="15.5703125" style="3" customWidth="1"/>
    <col min="14601" max="14601" width="14.5703125" style="3" customWidth="1"/>
    <col min="14602" max="14602" width="14.42578125" style="3" customWidth="1"/>
    <col min="14603" max="14603" width="9.7109375" style="3" bestFit="1" customWidth="1"/>
    <col min="14604" max="14851" width="9.140625" style="3"/>
    <col min="14852" max="14852" width="27.28515625" style="3" customWidth="1"/>
    <col min="14853" max="14853" width="18.5703125" style="3" customWidth="1"/>
    <col min="14854" max="14854" width="14.7109375" style="3" customWidth="1"/>
    <col min="14855" max="14855" width="12.140625" style="3" customWidth="1"/>
    <col min="14856" max="14856" width="15.5703125" style="3" customWidth="1"/>
    <col min="14857" max="14857" width="14.5703125" style="3" customWidth="1"/>
    <col min="14858" max="14858" width="14.42578125" style="3" customWidth="1"/>
    <col min="14859" max="14859" width="9.7109375" style="3" bestFit="1" customWidth="1"/>
    <col min="14860" max="15107" width="9.140625" style="3"/>
    <col min="15108" max="15108" width="27.28515625" style="3" customWidth="1"/>
    <col min="15109" max="15109" width="18.5703125" style="3" customWidth="1"/>
    <col min="15110" max="15110" width="14.7109375" style="3" customWidth="1"/>
    <col min="15111" max="15111" width="12.140625" style="3" customWidth="1"/>
    <col min="15112" max="15112" width="15.5703125" style="3" customWidth="1"/>
    <col min="15113" max="15113" width="14.5703125" style="3" customWidth="1"/>
    <col min="15114" max="15114" width="14.42578125" style="3" customWidth="1"/>
    <col min="15115" max="15115" width="9.7109375" style="3" bestFit="1" customWidth="1"/>
    <col min="15116" max="15363" width="9.140625" style="3"/>
    <col min="15364" max="15364" width="27.28515625" style="3" customWidth="1"/>
    <col min="15365" max="15365" width="18.5703125" style="3" customWidth="1"/>
    <col min="15366" max="15366" width="14.7109375" style="3" customWidth="1"/>
    <col min="15367" max="15367" width="12.140625" style="3" customWidth="1"/>
    <col min="15368" max="15368" width="15.5703125" style="3" customWidth="1"/>
    <col min="15369" max="15369" width="14.5703125" style="3" customWidth="1"/>
    <col min="15370" max="15370" width="14.42578125" style="3" customWidth="1"/>
    <col min="15371" max="15371" width="9.7109375" style="3" bestFit="1" customWidth="1"/>
    <col min="15372" max="15619" width="9.140625" style="3"/>
    <col min="15620" max="15620" width="27.28515625" style="3" customWidth="1"/>
    <col min="15621" max="15621" width="18.5703125" style="3" customWidth="1"/>
    <col min="15622" max="15622" width="14.7109375" style="3" customWidth="1"/>
    <col min="15623" max="15623" width="12.140625" style="3" customWidth="1"/>
    <col min="15624" max="15624" width="15.5703125" style="3" customWidth="1"/>
    <col min="15625" max="15625" width="14.5703125" style="3" customWidth="1"/>
    <col min="15626" max="15626" width="14.42578125" style="3" customWidth="1"/>
    <col min="15627" max="15627" width="9.7109375" style="3" bestFit="1" customWidth="1"/>
    <col min="15628" max="15875" width="9.140625" style="3"/>
    <col min="15876" max="15876" width="27.28515625" style="3" customWidth="1"/>
    <col min="15877" max="15877" width="18.5703125" style="3" customWidth="1"/>
    <col min="15878" max="15878" width="14.7109375" style="3" customWidth="1"/>
    <col min="15879" max="15879" width="12.140625" style="3" customWidth="1"/>
    <col min="15880" max="15880" width="15.5703125" style="3" customWidth="1"/>
    <col min="15881" max="15881" width="14.5703125" style="3" customWidth="1"/>
    <col min="15882" max="15882" width="14.42578125" style="3" customWidth="1"/>
    <col min="15883" max="15883" width="9.7109375" style="3" bestFit="1" customWidth="1"/>
    <col min="15884" max="16131" width="9.140625" style="3"/>
    <col min="16132" max="16132" width="27.28515625" style="3" customWidth="1"/>
    <col min="16133" max="16133" width="18.5703125" style="3" customWidth="1"/>
    <col min="16134" max="16134" width="14.7109375" style="3" customWidth="1"/>
    <col min="16135" max="16135" width="12.140625" style="3" customWidth="1"/>
    <col min="16136" max="16136" width="15.5703125" style="3" customWidth="1"/>
    <col min="16137" max="16137" width="14.5703125" style="3" customWidth="1"/>
    <col min="16138" max="16138" width="14.42578125" style="3" customWidth="1"/>
    <col min="16139" max="16139" width="9.7109375" style="3" bestFit="1" customWidth="1"/>
    <col min="16140" max="16384" width="9.140625" style="3"/>
  </cols>
  <sheetData>
    <row r="2" spans="1:14" ht="18.75" x14ac:dyDescent="0.25">
      <c r="G2" s="76" t="s">
        <v>84</v>
      </c>
      <c r="H2" s="14"/>
      <c r="I2" s="10"/>
      <c r="J2" s="10"/>
      <c r="K2" s="10"/>
      <c r="L2" s="10"/>
      <c r="M2" s="10"/>
      <c r="N2" s="10"/>
    </row>
    <row r="3" spans="1:14" ht="39" customHeight="1" x14ac:dyDescent="0.3">
      <c r="F3" s="77"/>
      <c r="G3" s="162" t="s">
        <v>199</v>
      </c>
      <c r="H3" s="162"/>
      <c r="I3" s="162"/>
      <c r="J3" s="162"/>
      <c r="K3" s="162"/>
      <c r="L3" s="162"/>
      <c r="M3" s="162"/>
      <c r="N3" s="85"/>
    </row>
    <row r="4" spans="1:14" ht="18.75" customHeight="1" x14ac:dyDescent="0.25">
      <c r="G4" s="162"/>
      <c r="H4" s="162"/>
      <c r="I4" s="162"/>
      <c r="J4" s="162"/>
      <c r="K4" s="162"/>
      <c r="L4" s="162"/>
      <c r="M4" s="162"/>
    </row>
    <row r="5" spans="1:14" x14ac:dyDescent="0.25">
      <c r="J5" s="4"/>
      <c r="L5" s="4" t="s">
        <v>25</v>
      </c>
    </row>
    <row r="6" spans="1:14" ht="26.25" customHeight="1" x14ac:dyDescent="0.3">
      <c r="A6" s="200" t="s">
        <v>89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</row>
    <row r="7" spans="1:14" ht="31.5" customHeight="1" x14ac:dyDescent="0.25">
      <c r="A7" s="201" t="s">
        <v>26</v>
      </c>
      <c r="B7" s="202" t="s">
        <v>58</v>
      </c>
      <c r="C7" s="203"/>
      <c r="D7" s="203"/>
      <c r="E7" s="203"/>
      <c r="F7" s="203"/>
      <c r="G7" s="203"/>
      <c r="H7" s="203"/>
      <c r="I7" s="203"/>
      <c r="J7" s="203"/>
      <c r="K7" s="204"/>
      <c r="L7" s="56"/>
      <c r="M7" s="57" t="s">
        <v>23</v>
      </c>
    </row>
    <row r="8" spans="1:14" ht="37.5" customHeight="1" x14ac:dyDescent="0.25">
      <c r="A8" s="201"/>
      <c r="B8" s="5" t="s">
        <v>27</v>
      </c>
      <c r="C8" s="5" t="s">
        <v>71</v>
      </c>
      <c r="D8" s="5" t="s">
        <v>72</v>
      </c>
      <c r="E8" s="5" t="s">
        <v>73</v>
      </c>
      <c r="F8" s="5" t="s">
        <v>74</v>
      </c>
      <c r="G8" s="5" t="s">
        <v>75</v>
      </c>
      <c r="H8" s="5" t="s">
        <v>76</v>
      </c>
      <c r="I8" s="5" t="s">
        <v>77</v>
      </c>
      <c r="J8" s="5" t="s">
        <v>78</v>
      </c>
      <c r="K8" s="5" t="s">
        <v>79</v>
      </c>
      <c r="L8" s="5" t="s">
        <v>80</v>
      </c>
      <c r="M8" s="6"/>
    </row>
    <row r="9" spans="1:14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6"/>
    </row>
    <row r="10" spans="1:14" ht="31.5" x14ac:dyDescent="0.25">
      <c r="A10" s="5" t="s">
        <v>28</v>
      </c>
      <c r="B10" s="7">
        <f>C10+D10+E10+F10+G10+H10+I10+J10+K10+L10</f>
        <v>1247701.49</v>
      </c>
      <c r="C10" s="7">
        <f>C11+C12+C13+C14</f>
        <v>61782.729999999996</v>
      </c>
      <c r="D10" s="7">
        <f t="shared" ref="D10:L10" si="0">D11+D12+D13+D14</f>
        <v>145625.70000000001</v>
      </c>
      <c r="E10" s="7">
        <f t="shared" si="0"/>
        <v>196681.47</v>
      </c>
      <c r="F10" s="7">
        <f t="shared" si="0"/>
        <v>436984.68999999994</v>
      </c>
      <c r="G10" s="7">
        <f t="shared" si="0"/>
        <v>323574.8</v>
      </c>
      <c r="H10" s="7">
        <f>H11+H12+H13+H14</f>
        <v>35176.1</v>
      </c>
      <c r="I10" s="7">
        <f t="shared" si="0"/>
        <v>19876</v>
      </c>
      <c r="J10" s="7">
        <f t="shared" si="0"/>
        <v>16000</v>
      </c>
      <c r="K10" s="7">
        <f t="shared" si="0"/>
        <v>6000</v>
      </c>
      <c r="L10" s="7">
        <f t="shared" si="0"/>
        <v>6000</v>
      </c>
      <c r="M10" s="6"/>
    </row>
    <row r="11" spans="1:14" x14ac:dyDescent="0.25">
      <c r="A11" s="5" t="s">
        <v>29</v>
      </c>
      <c r="B11" s="58">
        <f>C11+D11+E11+F11+G11+H11+I11+J11+K11+L11</f>
        <v>0</v>
      </c>
      <c r="C11" s="8">
        <f>'Прил 2'!D382</f>
        <v>0</v>
      </c>
      <c r="D11" s="8">
        <f>'Прил 2'!E382</f>
        <v>0</v>
      </c>
      <c r="E11" s="8">
        <f>'Прил 2'!F382</f>
        <v>0</v>
      </c>
      <c r="F11" s="8">
        <f>'Прил 2'!G382</f>
        <v>0</v>
      </c>
      <c r="G11" s="8">
        <f>'Прил 2'!H382</f>
        <v>0</v>
      </c>
      <c r="H11" s="8">
        <f>'Прил 2'!I382</f>
        <v>0</v>
      </c>
      <c r="I11" s="8">
        <f>'Прил 2'!J382</f>
        <v>0</v>
      </c>
      <c r="J11" s="8">
        <f>'Прил 2'!K382</f>
        <v>0</v>
      </c>
      <c r="K11" s="58">
        <f>'Прил 2'!L382</f>
        <v>0</v>
      </c>
      <c r="L11" s="8">
        <v>0</v>
      </c>
      <c r="M11" s="6"/>
    </row>
    <row r="12" spans="1:14" x14ac:dyDescent="0.25">
      <c r="A12" s="5" t="s">
        <v>30</v>
      </c>
      <c r="B12" s="7">
        <f>C12+D12+E12+F12+G12+H12+I12+J12+K12+L12</f>
        <v>770792.76549999986</v>
      </c>
      <c r="C12" s="7">
        <f>'Прил 2'!D383</f>
        <v>45707.409999999996</v>
      </c>
      <c r="D12" s="7">
        <f>'Прил 2'!E383</f>
        <v>6474.9000000000005</v>
      </c>
      <c r="E12" s="7">
        <f>'Прил 2'!F383</f>
        <v>111344.24500000001</v>
      </c>
      <c r="F12" s="7">
        <f>'Прил 2'!G383</f>
        <v>370471.11049999995</v>
      </c>
      <c r="G12" s="7">
        <f>'Прил 2'!H383</f>
        <v>183359.97499999998</v>
      </c>
      <c r="H12" s="7">
        <f>'Прил 2'!I383</f>
        <v>22085.125</v>
      </c>
      <c r="I12" s="7">
        <f>'Прил 2'!J383</f>
        <v>4750</v>
      </c>
      <c r="J12" s="7">
        <f>'Прил 2'!K383</f>
        <v>15200</v>
      </c>
      <c r="K12" s="7">
        <f>'Прил 2'!L383</f>
        <v>5700</v>
      </c>
      <c r="L12" s="7">
        <f>'Прил 2'!M383</f>
        <v>5700</v>
      </c>
      <c r="M12" s="6"/>
    </row>
    <row r="13" spans="1:14" x14ac:dyDescent="0.25">
      <c r="A13" s="5" t="s">
        <v>31</v>
      </c>
      <c r="B13" s="7">
        <f>C13+D13+E13+F13+G13+H13+I13+J13+K13+L13</f>
        <v>133714.72450000001</v>
      </c>
      <c r="C13" s="7">
        <f>'Прил 2'!D384</f>
        <v>6152.32</v>
      </c>
      <c r="D13" s="7">
        <f>'Прил 2'!E384</f>
        <v>7338.8</v>
      </c>
      <c r="E13" s="7">
        <f>'Прил 2'!F384</f>
        <v>43932.224999999999</v>
      </c>
      <c r="F13" s="7">
        <f>'Прил 2'!G384</f>
        <v>32892.579500000007</v>
      </c>
      <c r="G13" s="7">
        <f>'Прил 2'!H384</f>
        <v>36653.824999999997</v>
      </c>
      <c r="H13" s="7">
        <f>'Прил 2'!I384</f>
        <v>5094.9750000000004</v>
      </c>
      <c r="I13" s="7">
        <f>'Прил 2'!J384</f>
        <v>250</v>
      </c>
      <c r="J13" s="7">
        <f>'Прил 2'!K384</f>
        <v>800</v>
      </c>
      <c r="K13" s="7">
        <f>'Прил 2'!L384</f>
        <v>300</v>
      </c>
      <c r="L13" s="7">
        <f>'Прил 2'!M384</f>
        <v>300</v>
      </c>
      <c r="M13" s="6"/>
    </row>
    <row r="14" spans="1:14" ht="31.5" x14ac:dyDescent="0.25">
      <c r="A14" s="5" t="s">
        <v>32</v>
      </c>
      <c r="B14" s="7">
        <f>C14+D14+E14+F14+G14+H14+I14+J14+K14+L14</f>
        <v>343194</v>
      </c>
      <c r="C14" s="7">
        <f>'Прил 2'!D385</f>
        <v>9923</v>
      </c>
      <c r="D14" s="7">
        <f>'Прил 2'!E385</f>
        <v>131812</v>
      </c>
      <c r="E14" s="7">
        <f>'Прил 2'!F385</f>
        <v>41405</v>
      </c>
      <c r="F14" s="7">
        <f>'Прил 2'!G385</f>
        <v>33621</v>
      </c>
      <c r="G14" s="7">
        <f>'Прил 2'!H385</f>
        <v>103561</v>
      </c>
      <c r="H14" s="7">
        <f>'Прил 2'!I385</f>
        <v>7996</v>
      </c>
      <c r="I14" s="7">
        <f>'Прил 2'!J385</f>
        <v>14876</v>
      </c>
      <c r="J14" s="8">
        <f>'Прил 2'!K385</f>
        <v>0</v>
      </c>
      <c r="K14" s="58">
        <f>'Прил 2'!L385</f>
        <v>0</v>
      </c>
      <c r="L14" s="8">
        <f>'Прил 2'!M385</f>
        <v>0</v>
      </c>
      <c r="M14" s="6"/>
    </row>
    <row r="15" spans="1:14" x14ac:dyDescent="0.25">
      <c r="A15" s="9"/>
    </row>
  </sheetData>
  <mergeCells count="4">
    <mergeCell ref="A6:M6"/>
    <mergeCell ref="A7:A8"/>
    <mergeCell ref="B7:K7"/>
    <mergeCell ref="G3:M4"/>
  </mergeCells>
  <pageMargins left="0.70866141732283472" right="0.51181102362204722" top="0.55118110236220474" bottom="0.55118110236220474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workbookViewId="0">
      <selection sqref="A1:Q21"/>
    </sheetView>
  </sheetViews>
  <sheetFormatPr defaultRowHeight="15.75" x14ac:dyDescent="0.25"/>
  <cols>
    <col min="1" max="1" width="7.140625" style="1" customWidth="1"/>
    <col min="2" max="2" width="29.85546875" style="1" customWidth="1"/>
    <col min="3" max="3" width="8" style="1" customWidth="1"/>
    <col min="4" max="4" width="6.42578125" style="1" customWidth="1"/>
    <col min="5" max="5" width="5.5703125" style="1" customWidth="1"/>
    <col min="6" max="6" width="13.28515625" style="103" customWidth="1"/>
    <col min="7" max="7" width="6.7109375" style="103" customWidth="1"/>
    <col min="8" max="8" width="8.42578125" style="1" customWidth="1"/>
    <col min="9" max="9" width="8.7109375" style="1" customWidth="1"/>
    <col min="10" max="10" width="9.7109375" style="1" bestFit="1" customWidth="1"/>
    <col min="11" max="11" width="11" style="1" customWidth="1"/>
    <col min="12" max="12" width="10.7109375" style="1" customWidth="1"/>
    <col min="13" max="14" width="9.7109375" style="1" bestFit="1" customWidth="1"/>
    <col min="15" max="15" width="9.5703125" style="1" customWidth="1"/>
    <col min="16" max="16" width="9.7109375" style="1" customWidth="1"/>
    <col min="17" max="17" width="9.28515625" style="1" bestFit="1" customWidth="1"/>
    <col min="18" max="16384" width="9.140625" style="1"/>
  </cols>
  <sheetData>
    <row r="1" spans="1:17" x14ac:dyDescent="0.25">
      <c r="O1" s="2" t="s">
        <v>33</v>
      </c>
    </row>
    <row r="2" spans="1:17" x14ac:dyDescent="0.25">
      <c r="A2" s="208" t="s">
        <v>34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</row>
    <row r="3" spans="1:17" x14ac:dyDescent="0.25">
      <c r="A3" s="208" t="s">
        <v>90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</row>
    <row r="4" spans="1:17" x14ac:dyDescent="0.25">
      <c r="A4" s="209" t="s">
        <v>35</v>
      </c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</row>
    <row r="5" spans="1:17" ht="15.75" customHeight="1" x14ac:dyDescent="0.25">
      <c r="A5" s="210" t="s">
        <v>36</v>
      </c>
      <c r="B5" s="210" t="s">
        <v>37</v>
      </c>
      <c r="C5" s="210" t="s">
        <v>148</v>
      </c>
      <c r="D5" s="210" t="s">
        <v>149</v>
      </c>
      <c r="E5" s="210" t="s">
        <v>150</v>
      </c>
      <c r="F5" s="210" t="s">
        <v>151</v>
      </c>
      <c r="G5" s="210" t="s">
        <v>152</v>
      </c>
      <c r="H5" s="211" t="s">
        <v>38</v>
      </c>
      <c r="I5" s="212"/>
      <c r="J5" s="212"/>
      <c r="K5" s="212"/>
      <c r="L5" s="212"/>
      <c r="M5" s="212"/>
      <c r="N5" s="212"/>
      <c r="O5" s="212"/>
      <c r="P5" s="212"/>
      <c r="Q5" s="213"/>
    </row>
    <row r="6" spans="1:17" ht="31.5" x14ac:dyDescent="0.25">
      <c r="A6" s="210"/>
      <c r="B6" s="210"/>
      <c r="C6" s="210"/>
      <c r="D6" s="210"/>
      <c r="E6" s="210"/>
      <c r="F6" s="210"/>
      <c r="G6" s="210"/>
      <c r="H6" s="98" t="s">
        <v>71</v>
      </c>
      <c r="I6" s="98" t="s">
        <v>72</v>
      </c>
      <c r="J6" s="98" t="s">
        <v>73</v>
      </c>
      <c r="K6" s="98" t="s">
        <v>74</v>
      </c>
      <c r="L6" s="98" t="s">
        <v>75</v>
      </c>
      <c r="M6" s="98" t="s">
        <v>76</v>
      </c>
      <c r="N6" s="98" t="s">
        <v>77</v>
      </c>
      <c r="O6" s="98" t="s">
        <v>78</v>
      </c>
      <c r="P6" s="98" t="s">
        <v>79</v>
      </c>
      <c r="Q6" s="98" t="s">
        <v>80</v>
      </c>
    </row>
    <row r="7" spans="1:17" ht="24" customHeight="1" x14ac:dyDescent="0.25">
      <c r="A7" s="205" t="s">
        <v>39</v>
      </c>
      <c r="B7" s="205" t="s">
        <v>91</v>
      </c>
      <c r="C7" s="102" t="s">
        <v>157</v>
      </c>
      <c r="D7" s="102" t="s">
        <v>153</v>
      </c>
      <c r="E7" s="102" t="s">
        <v>154</v>
      </c>
      <c r="F7" s="102" t="s">
        <v>155</v>
      </c>
      <c r="G7" s="102" t="s">
        <v>156</v>
      </c>
      <c r="H7" s="105">
        <f>'Прил 2'!D29</f>
        <v>6563.31</v>
      </c>
      <c r="I7" s="105">
        <f>'Прил 2'!E29</f>
        <v>5933.8</v>
      </c>
      <c r="J7" s="105">
        <f>'Прил 2'!F29+'Прил 2'!F261*95%</f>
        <v>11344.3</v>
      </c>
      <c r="K7" s="106">
        <f>'Прил 2'!G29</f>
        <v>0</v>
      </c>
      <c r="L7" s="106">
        <f>'Прил 2'!H29</f>
        <v>0</v>
      </c>
      <c r="M7" s="106">
        <f>'Прил 2'!I29</f>
        <v>0</v>
      </c>
      <c r="N7" s="106">
        <f>'Прил 2'!J29</f>
        <v>0</v>
      </c>
      <c r="O7" s="106">
        <f>'Прил 2'!K29</f>
        <v>0</v>
      </c>
      <c r="P7" s="106">
        <f>'Прил 2'!L29</f>
        <v>0</v>
      </c>
      <c r="Q7" s="106">
        <f>'Прил 2'!M29</f>
        <v>0</v>
      </c>
    </row>
    <row r="8" spans="1:17" ht="24" customHeight="1" x14ac:dyDescent="0.25">
      <c r="A8" s="206"/>
      <c r="B8" s="206"/>
      <c r="C8" s="102" t="s">
        <v>157</v>
      </c>
      <c r="D8" s="102" t="s">
        <v>153</v>
      </c>
      <c r="E8" s="102" t="s">
        <v>154</v>
      </c>
      <c r="F8" s="102" t="s">
        <v>158</v>
      </c>
      <c r="G8" s="102" t="s">
        <v>156</v>
      </c>
      <c r="H8" s="105">
        <f>'Прил 2'!D30</f>
        <v>302.07</v>
      </c>
      <c r="I8" s="105">
        <f>'Прил 2'!E30</f>
        <v>312.3</v>
      </c>
      <c r="J8" s="105">
        <f>'Прил 2'!F30+'Прил 2'!F261*5%</f>
        <v>597.06999999999994</v>
      </c>
      <c r="K8" s="106">
        <f>'Прил 2'!G30</f>
        <v>0</v>
      </c>
      <c r="L8" s="106">
        <f>'Прил 2'!H30</f>
        <v>0</v>
      </c>
      <c r="M8" s="106">
        <f>'Прил 2'!I30</f>
        <v>0</v>
      </c>
      <c r="N8" s="106">
        <f>'Прил 2'!J30</f>
        <v>0</v>
      </c>
      <c r="O8" s="106">
        <f>'Прил 2'!K30</f>
        <v>0</v>
      </c>
      <c r="P8" s="106">
        <f>'Прил 2'!L30</f>
        <v>0</v>
      </c>
      <c r="Q8" s="106">
        <f>'Прил 2'!M30</f>
        <v>0</v>
      </c>
    </row>
    <row r="9" spans="1:17" ht="21" customHeight="1" x14ac:dyDescent="0.25">
      <c r="A9" s="206"/>
      <c r="B9" s="206"/>
      <c r="C9" s="102" t="s">
        <v>157</v>
      </c>
      <c r="D9" s="102" t="s">
        <v>153</v>
      </c>
      <c r="E9" s="102" t="s">
        <v>154</v>
      </c>
      <c r="F9" s="102" t="s">
        <v>155</v>
      </c>
      <c r="G9" s="102" t="s">
        <v>159</v>
      </c>
      <c r="H9" s="105">
        <f>'Прил 2'!D93*95.6%</f>
        <v>669.19999999999993</v>
      </c>
      <c r="I9" s="105">
        <f>'Прил 2'!E95-50</f>
        <v>541.1</v>
      </c>
      <c r="J9" s="106">
        <v>0</v>
      </c>
      <c r="K9" s="106">
        <v>0</v>
      </c>
      <c r="L9" s="106">
        <v>0</v>
      </c>
      <c r="M9" s="106">
        <v>0</v>
      </c>
      <c r="N9" s="106">
        <v>0</v>
      </c>
      <c r="O9" s="106">
        <v>0</v>
      </c>
      <c r="P9" s="106">
        <v>0</v>
      </c>
      <c r="Q9" s="106">
        <v>0</v>
      </c>
    </row>
    <row r="10" spans="1:17" ht="21" customHeight="1" x14ac:dyDescent="0.25">
      <c r="A10" s="206"/>
      <c r="B10" s="206"/>
      <c r="C10" s="102" t="s">
        <v>157</v>
      </c>
      <c r="D10" s="102" t="s">
        <v>153</v>
      </c>
      <c r="E10" s="102" t="s">
        <v>154</v>
      </c>
      <c r="F10" s="102" t="s">
        <v>158</v>
      </c>
      <c r="G10" s="102" t="s">
        <v>159</v>
      </c>
      <c r="H10" s="105">
        <f>'Прил 2'!D93*4.4%</f>
        <v>30.800000000000004</v>
      </c>
      <c r="I10" s="105">
        <f>'Прил 2'!E95-Табл2!I9</f>
        <v>50</v>
      </c>
      <c r="J10" s="106">
        <v>0</v>
      </c>
      <c r="K10" s="106">
        <v>0</v>
      </c>
      <c r="L10" s="106">
        <v>0</v>
      </c>
      <c r="M10" s="106">
        <v>0</v>
      </c>
      <c r="N10" s="106">
        <v>0</v>
      </c>
      <c r="O10" s="106">
        <v>0</v>
      </c>
      <c r="P10" s="106">
        <v>0</v>
      </c>
      <c r="Q10" s="106">
        <v>0</v>
      </c>
    </row>
    <row r="11" spans="1:17" ht="15.75" customHeight="1" x14ac:dyDescent="0.25">
      <c r="A11" s="206"/>
      <c r="B11" s="206"/>
      <c r="C11" s="102" t="s">
        <v>157</v>
      </c>
      <c r="D11" s="102" t="s">
        <v>153</v>
      </c>
      <c r="E11" s="102" t="s">
        <v>154</v>
      </c>
      <c r="F11" s="102" t="s">
        <v>160</v>
      </c>
      <c r="G11" s="102" t="s">
        <v>159</v>
      </c>
      <c r="H11" s="104"/>
      <c r="I11" s="104"/>
      <c r="J11" s="104">
        <f>'Прил 2'!F55</f>
        <v>1728.9</v>
      </c>
      <c r="K11" s="106">
        <f>'Прил 2'!G30</f>
        <v>0</v>
      </c>
      <c r="L11" s="106">
        <f>'Прил 2'!H30</f>
        <v>0</v>
      </c>
      <c r="M11" s="106">
        <f>'Прил 2'!I30</f>
        <v>0</v>
      </c>
      <c r="N11" s="106">
        <f>'Прил 2'!J30</f>
        <v>0</v>
      </c>
      <c r="O11" s="106">
        <f>'Прил 2'!K30</f>
        <v>0</v>
      </c>
      <c r="P11" s="106">
        <f>'Прил 2'!L30</f>
        <v>0</v>
      </c>
      <c r="Q11" s="106">
        <f>'Прил 2'!M30</f>
        <v>0</v>
      </c>
    </row>
    <row r="12" spans="1:17" ht="15.75" customHeight="1" x14ac:dyDescent="0.25">
      <c r="A12" s="206"/>
      <c r="B12" s="206"/>
      <c r="C12" s="102" t="s">
        <v>157</v>
      </c>
      <c r="D12" s="102" t="s">
        <v>153</v>
      </c>
      <c r="E12" s="102" t="s">
        <v>154</v>
      </c>
      <c r="F12" s="102" t="s">
        <v>161</v>
      </c>
      <c r="G12" s="102" t="s">
        <v>162</v>
      </c>
      <c r="H12" s="104">
        <f>'Прил 2'!D83</f>
        <v>298.5</v>
      </c>
      <c r="I12" s="104"/>
      <c r="J12" s="107"/>
      <c r="K12" s="107">
        <f>'Прил 2'!G89+'Прил 2'!G91</f>
        <v>3385</v>
      </c>
      <c r="L12" s="107">
        <f>'Прил 2'!H99+'Прил 2'!H101+'Прил 2'!H61+'Прил 2'!H63+'Прил 2'!H65+'Прил 2'!H77</f>
        <v>23293.3</v>
      </c>
      <c r="M12" s="108">
        <f>'Прил 2'!I89+'Прил 2'!I91</f>
        <v>0</v>
      </c>
      <c r="N12" s="108">
        <f>'Прил 2'!J89+'Прил 2'!J91</f>
        <v>0</v>
      </c>
      <c r="O12" s="108">
        <f>'Прил 2'!K89+'Прил 2'!K91</f>
        <v>0</v>
      </c>
      <c r="P12" s="108">
        <f>'Прил 2'!L89+'Прил 2'!L91</f>
        <v>0</v>
      </c>
      <c r="Q12" s="108">
        <f>'Прил 2'!M89+'Прил 2'!M91</f>
        <v>0</v>
      </c>
    </row>
    <row r="13" spans="1:17" x14ac:dyDescent="0.25">
      <c r="A13" s="206"/>
      <c r="B13" s="206"/>
      <c r="C13" s="102" t="s">
        <v>157</v>
      </c>
      <c r="D13" s="102" t="s">
        <v>153</v>
      </c>
      <c r="E13" s="102" t="s">
        <v>154</v>
      </c>
      <c r="F13" s="102" t="s">
        <v>161</v>
      </c>
      <c r="G13" s="102" t="s">
        <v>159</v>
      </c>
      <c r="H13" s="104"/>
      <c r="I13" s="104"/>
      <c r="J13" s="104">
        <f>'Прил 2'!F79</f>
        <v>0</v>
      </c>
      <c r="K13" s="104">
        <f>'Прил 2'!G79</f>
        <v>2353.4</v>
      </c>
      <c r="L13" s="104">
        <f>'Прил 2'!H79</f>
        <v>0</v>
      </c>
      <c r="M13" s="104">
        <f>'Прил 2'!I79</f>
        <v>0</v>
      </c>
      <c r="N13" s="104">
        <f>'Прил 2'!J79</f>
        <v>0</v>
      </c>
      <c r="O13" s="104">
        <f>'Прил 2'!K79</f>
        <v>0</v>
      </c>
      <c r="P13" s="104">
        <f>'Прил 2'!L79</f>
        <v>0</v>
      </c>
      <c r="Q13" s="104">
        <f>'Прил 2'!M79</f>
        <v>0</v>
      </c>
    </row>
    <row r="14" spans="1:17" x14ac:dyDescent="0.25">
      <c r="A14" s="206"/>
      <c r="B14" s="206"/>
      <c r="C14" s="102" t="s">
        <v>157</v>
      </c>
      <c r="D14" s="102" t="s">
        <v>153</v>
      </c>
      <c r="E14" s="102" t="s">
        <v>154</v>
      </c>
      <c r="F14" s="102" t="s">
        <v>163</v>
      </c>
      <c r="G14" s="102" t="s">
        <v>159</v>
      </c>
      <c r="H14" s="107">
        <f>'Прил 2'!D112*95.6%</f>
        <v>38474.889199999998</v>
      </c>
      <c r="I14" s="104"/>
      <c r="J14" s="104"/>
      <c r="K14" s="104">
        <f>'Прил 2'!G81*95%+'Прил 2'!G182*95%</f>
        <v>23051.37</v>
      </c>
      <c r="L14" s="107">
        <f>'Прил 2'!H87*95%+7386.2*95%</f>
        <v>16360.994999999999</v>
      </c>
      <c r="M14" s="104">
        <f>23247.5*95%</f>
        <v>22085.125</v>
      </c>
      <c r="N14" s="107">
        <f>'Прил 2'!J186*95%</f>
        <v>4750</v>
      </c>
      <c r="O14" s="107">
        <f>'Прил 2'!K47+'Прил 2'!K172</f>
        <v>15200</v>
      </c>
      <c r="P14" s="107">
        <f>'Прил 2'!L172</f>
        <v>5700</v>
      </c>
      <c r="Q14" s="107">
        <f>'Прил 2'!M172</f>
        <v>5700</v>
      </c>
    </row>
    <row r="15" spans="1:17" x14ac:dyDescent="0.25">
      <c r="A15" s="206"/>
      <c r="B15" s="206"/>
      <c r="C15" s="102" t="s">
        <v>157</v>
      </c>
      <c r="D15" s="102" t="s">
        <v>153</v>
      </c>
      <c r="E15" s="102" t="s">
        <v>154</v>
      </c>
      <c r="F15" s="102" t="s">
        <v>164</v>
      </c>
      <c r="G15" s="102" t="s">
        <v>159</v>
      </c>
      <c r="H15" s="104">
        <f>'Прил 2'!D112*4.4%</f>
        <v>1770.8108</v>
      </c>
      <c r="I15" s="104"/>
      <c r="J15" s="104"/>
      <c r="K15" s="107">
        <f>'Прил 2'!G81*5%+'Прил 2'!G182*5%</f>
        <v>1213.23</v>
      </c>
      <c r="L15" s="107">
        <f>'Прил 2'!H87*5%+7386.2*5%</f>
        <v>861.10500000000002</v>
      </c>
      <c r="M15" s="107">
        <f>23247.5*5%</f>
        <v>1162.375</v>
      </c>
      <c r="N15" s="107">
        <f>'Прил 2'!J186*5%</f>
        <v>250</v>
      </c>
      <c r="O15" s="107">
        <f>'Прил 2'!K48+'Прил 2'!K173</f>
        <v>800</v>
      </c>
      <c r="P15" s="107">
        <f>'Прил 2'!L173</f>
        <v>300</v>
      </c>
      <c r="Q15" s="107">
        <f>'Прил 2'!M173</f>
        <v>300</v>
      </c>
    </row>
    <row r="16" spans="1:17" x14ac:dyDescent="0.25">
      <c r="A16" s="206"/>
      <c r="B16" s="206"/>
      <c r="C16" s="102" t="s">
        <v>157</v>
      </c>
      <c r="D16" s="102" t="s">
        <v>153</v>
      </c>
      <c r="E16" s="102" t="s">
        <v>154</v>
      </c>
      <c r="F16" s="102" t="s">
        <v>165</v>
      </c>
      <c r="G16" s="102" t="s">
        <v>159</v>
      </c>
      <c r="H16" s="104"/>
      <c r="I16" s="104"/>
      <c r="J16" s="107">
        <f>'Прил 2'!F219*95%</f>
        <v>99999.945000000007</v>
      </c>
      <c r="K16" s="107">
        <f>'Прил 2'!G219*95%+'Прил 2'!G110*95%</f>
        <v>347419.74049999996</v>
      </c>
      <c r="L16" s="107">
        <f>'Прил 2'!H110*95%+'Прил 2'!H144*95%</f>
        <v>166998.97999999998</v>
      </c>
      <c r="M16" s="104">
        <f>'Прил 2'!I219*95%</f>
        <v>0</v>
      </c>
      <c r="N16" s="104">
        <f>'Прил 2'!J219*95%</f>
        <v>0</v>
      </c>
      <c r="O16" s="104">
        <f>'Прил 2'!K219*95%</f>
        <v>0</v>
      </c>
      <c r="P16" s="104">
        <f>'Прил 2'!L219*95%</f>
        <v>0</v>
      </c>
      <c r="Q16" s="104">
        <f>'Прил 2'!M219*95%</f>
        <v>0</v>
      </c>
    </row>
    <row r="17" spans="1:17" x14ac:dyDescent="0.25">
      <c r="A17" s="206"/>
      <c r="B17" s="206"/>
      <c r="C17" s="102" t="s">
        <v>157</v>
      </c>
      <c r="D17" s="102" t="s">
        <v>153</v>
      </c>
      <c r="E17" s="102" t="s">
        <v>154</v>
      </c>
      <c r="F17" s="102" t="s">
        <v>166</v>
      </c>
      <c r="G17" s="102" t="s">
        <v>159</v>
      </c>
      <c r="H17" s="104"/>
      <c r="I17" s="104"/>
      <c r="J17" s="107">
        <f>'Прил 2'!F219*5%</f>
        <v>5263.1550000000007</v>
      </c>
      <c r="K17" s="104">
        <f>'Прил 2'!G219*5%+'Прил 2'!G110*5%+0.1</f>
        <v>18285.3495</v>
      </c>
      <c r="L17" s="107">
        <f>'Прил 2'!H110*5%+'Прил 2'!H144*5%</f>
        <v>8789.42</v>
      </c>
      <c r="M17" s="104">
        <f>'Прил 2'!I219*5%</f>
        <v>0</v>
      </c>
      <c r="N17" s="104">
        <f>'Прил 2'!J219*5%</f>
        <v>0</v>
      </c>
      <c r="O17" s="104">
        <f>'Прил 2'!K219*5%</f>
        <v>0</v>
      </c>
      <c r="P17" s="104">
        <f>'Прил 2'!L219*5%</f>
        <v>0</v>
      </c>
      <c r="Q17" s="104">
        <f>'Прил 2'!M219*5%</f>
        <v>0</v>
      </c>
    </row>
    <row r="18" spans="1:17" x14ac:dyDescent="0.25">
      <c r="A18" s="206"/>
      <c r="B18" s="206"/>
      <c r="C18" s="102" t="s">
        <v>157</v>
      </c>
      <c r="D18" s="102" t="s">
        <v>153</v>
      </c>
      <c r="E18" s="102" t="s">
        <v>154</v>
      </c>
      <c r="F18" s="102" t="s">
        <v>167</v>
      </c>
      <c r="G18" s="102" t="s">
        <v>159</v>
      </c>
      <c r="H18" s="104">
        <f>'Прил 2'!D217</f>
        <v>3750.15</v>
      </c>
      <c r="I18" s="104">
        <f>'Прил 2'!E140</f>
        <v>3086.5</v>
      </c>
      <c r="J18" s="104">
        <f>'Прил 2'!F194+'Прил 2'!F196</f>
        <v>28199.5</v>
      </c>
      <c r="K18" s="107">
        <f>'Прил 2'!G140</f>
        <v>3500</v>
      </c>
      <c r="L18" s="107">
        <f>'Прил 2'!H140</f>
        <v>3710</v>
      </c>
      <c r="M18" s="107">
        <f>'Прил 2'!I140</f>
        <v>3932.6</v>
      </c>
      <c r="N18" s="104">
        <v>0</v>
      </c>
      <c r="O18" s="104">
        <v>0</v>
      </c>
      <c r="P18" s="104">
        <v>0</v>
      </c>
      <c r="Q18" s="104">
        <v>0</v>
      </c>
    </row>
    <row r="19" spans="1:17" x14ac:dyDescent="0.25">
      <c r="A19" s="206"/>
      <c r="B19" s="206"/>
      <c r="C19" s="102" t="s">
        <v>171</v>
      </c>
      <c r="D19" s="102" t="s">
        <v>153</v>
      </c>
      <c r="E19" s="102" t="s">
        <v>154</v>
      </c>
      <c r="F19" s="102" t="s">
        <v>161</v>
      </c>
      <c r="G19" s="102" t="s">
        <v>172</v>
      </c>
      <c r="H19" s="104"/>
      <c r="I19" s="107">
        <f>'Прил 2'!E259</f>
        <v>3890</v>
      </c>
      <c r="J19" s="107"/>
      <c r="K19" s="107">
        <f>'Прил 2'!G259</f>
        <v>4155.6000000000004</v>
      </c>
      <c r="L19" s="104"/>
      <c r="M19" s="104"/>
      <c r="N19" s="104"/>
      <c r="O19" s="104"/>
      <c r="P19" s="104"/>
      <c r="Q19" s="104"/>
    </row>
    <row r="20" spans="1:17" x14ac:dyDescent="0.25">
      <c r="A20" s="207"/>
      <c r="B20" s="207"/>
      <c r="C20" s="102" t="s">
        <v>171</v>
      </c>
      <c r="D20" s="102" t="s">
        <v>153</v>
      </c>
      <c r="E20" s="102" t="s">
        <v>173</v>
      </c>
      <c r="F20" s="102" t="s">
        <v>174</v>
      </c>
      <c r="G20" s="102" t="s">
        <v>175</v>
      </c>
      <c r="H20" s="104"/>
      <c r="I20" s="104"/>
      <c r="J20" s="104">
        <f>'Прил 2'!F307+'Прил 2'!F309+'Прил 2'!F311+'Прил 2'!F313</f>
        <v>8143.6</v>
      </c>
      <c r="K20" s="104"/>
      <c r="L20" s="104"/>
      <c r="M20" s="104"/>
      <c r="N20" s="104"/>
      <c r="O20" s="104"/>
      <c r="P20" s="104"/>
      <c r="Q20" s="104"/>
    </row>
    <row r="21" spans="1:17" x14ac:dyDescent="0.25">
      <c r="A21" s="100"/>
      <c r="B21" s="100" t="s">
        <v>4</v>
      </c>
      <c r="C21" s="101"/>
      <c r="D21" s="101"/>
      <c r="E21" s="101"/>
      <c r="F21" s="102"/>
      <c r="G21" s="102"/>
      <c r="H21" s="121">
        <f t="shared" ref="H21:Q21" si="0">SUM(H7:H20)</f>
        <v>51859.729999999996</v>
      </c>
      <c r="I21" s="121">
        <f t="shared" si="0"/>
        <v>13813.7</v>
      </c>
      <c r="J21" s="121">
        <f t="shared" si="0"/>
        <v>155276.47</v>
      </c>
      <c r="K21" s="121">
        <f t="shared" si="0"/>
        <v>403363.68999999994</v>
      </c>
      <c r="L21" s="121">
        <f t="shared" si="0"/>
        <v>220013.8</v>
      </c>
      <c r="M21" s="121">
        <f t="shared" si="0"/>
        <v>27180.1</v>
      </c>
      <c r="N21" s="121">
        <f t="shared" si="0"/>
        <v>5000</v>
      </c>
      <c r="O21" s="121">
        <f t="shared" si="0"/>
        <v>16000</v>
      </c>
      <c r="P21" s="121">
        <f t="shared" si="0"/>
        <v>6000</v>
      </c>
      <c r="Q21" s="121">
        <f t="shared" si="0"/>
        <v>6000</v>
      </c>
    </row>
    <row r="22" spans="1:17" x14ac:dyDescent="0.25">
      <c r="H22" s="109"/>
      <c r="I22" s="109"/>
      <c r="J22" s="109"/>
      <c r="K22" s="109"/>
      <c r="L22" s="109"/>
      <c r="M22" s="109"/>
      <c r="N22" s="109"/>
      <c r="O22" s="109"/>
      <c r="P22" s="109"/>
      <c r="Q22" s="109"/>
    </row>
    <row r="23" spans="1:17" x14ac:dyDescent="0.25">
      <c r="B23" s="110"/>
    </row>
  </sheetData>
  <mergeCells count="13">
    <mergeCell ref="B7:B20"/>
    <mergeCell ref="A7:A20"/>
    <mergeCell ref="A2:P2"/>
    <mergeCell ref="A3:P3"/>
    <mergeCell ref="A4:L4"/>
    <mergeCell ref="A5:A6"/>
    <mergeCell ref="B5:B6"/>
    <mergeCell ref="H5:Q5"/>
    <mergeCell ref="C5:C6"/>
    <mergeCell ref="D5:D6"/>
    <mergeCell ref="E5:E6"/>
    <mergeCell ref="F5:F6"/>
    <mergeCell ref="G5:G6"/>
  </mergeCells>
  <phoneticPr fontId="18" type="noConversion"/>
  <pageMargins left="0" right="0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 2</vt:lpstr>
      <vt:lpstr> Прил 3</vt:lpstr>
      <vt:lpstr>Табл2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user1</cp:lastModifiedBy>
  <cp:lastPrinted>2026-07-24T08:03:39Z</cp:lastPrinted>
  <dcterms:created xsi:type="dcterms:W3CDTF">2015-04-15T05:59:50Z</dcterms:created>
  <dcterms:modified xsi:type="dcterms:W3CDTF">2026-09-09T04:19:25Z</dcterms:modified>
</cp:coreProperties>
</file>